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Jerad\Documents\MSU documents\Extension presentations\"/>
    </mc:Choice>
  </mc:AlternateContent>
  <xr:revisionPtr revIDLastSave="0" documentId="13_ncr:1_{DF524494-A316-427B-B336-C3714C5589B5}" xr6:coauthVersionLast="46" xr6:coauthVersionMax="46" xr10:uidLastSave="{00000000-0000-0000-0000-000000000000}"/>
  <bookViews>
    <workbookView xWindow="-110" yWindow="-110" windowWidth="19420" windowHeight="10420" tabRatio="743" activeTab="1" xr2:uid="{00000000-000D-0000-FFFF-FFFF00000000}"/>
  </bookViews>
  <sheets>
    <sheet name="       " sheetId="1" r:id="rId1"/>
    <sheet name="Directions" sheetId="13" r:id="rId2"/>
    <sheet name="Feedlot feed-Beef Finisher" sheetId="12" r:id="rId3"/>
    <sheet name="Feedlot feed- Holstein Grower" sheetId="9" r:id="rId4"/>
    <sheet name="Feedlot feed-Holstein Finisher" sheetId="6" r:id="rId5"/>
    <sheet name="Yardage" sheetId="10" r:id="rId6"/>
    <sheet name="Feedlot Budget" sheetId="5" r:id="rId7"/>
  </sheets>
  <externalReferences>
    <externalReference r:id="rId8"/>
    <externalReference r:id="rId9"/>
  </externalReferences>
  <definedNames>
    <definedName name="_xlnm.Print_Area" localSheetId="0">'       '!$A$1:$J$43</definedName>
    <definedName name="_xlnm.Print_Area" localSheetId="6">'Feedlot Budget'!$A$1:$F$91</definedName>
    <definedName name="_xlnm.Print_Area" localSheetId="3">'Feedlot feed- Holstein Grower'!$A$1:$J$41</definedName>
    <definedName name="_xlnm.Print_Area" localSheetId="2">'Feedlot feed-Beef Finisher'!$A$1:$J$41</definedName>
    <definedName name="_xlnm.Print_Area" localSheetId="4">'Feedlot feed-Holstein Finisher'!$A$1:$J$41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5" i="5" l="1"/>
  <c r="G25" i="5"/>
  <c r="F6" i="5" l="1"/>
  <c r="F54" i="5" s="1"/>
  <c r="G53" i="5"/>
  <c r="H53" i="5"/>
  <c r="E53" i="5"/>
  <c r="E54" i="5"/>
  <c r="F53" i="5" l="1"/>
  <c r="M25" i="5" l="1"/>
  <c r="N25" i="5"/>
  <c r="O25" i="5"/>
  <c r="P25" i="5"/>
  <c r="M24" i="5"/>
  <c r="M21" i="5"/>
  <c r="F27" i="10"/>
  <c r="B26" i="10"/>
  <c r="B25" i="10"/>
  <c r="M6" i="5"/>
  <c r="M5" i="5"/>
  <c r="N6" i="5"/>
  <c r="O6" i="5"/>
  <c r="P6" i="5"/>
  <c r="E18" i="5"/>
  <c r="B27" i="10" l="1"/>
  <c r="E7" i="6"/>
  <c r="E9" i="6"/>
  <c r="E10" i="6"/>
  <c r="E11" i="6"/>
  <c r="E12" i="6"/>
  <c r="E13" i="6"/>
  <c r="E14" i="6"/>
  <c r="E15" i="6"/>
  <c r="E16" i="6"/>
  <c r="E17" i="6"/>
  <c r="E6" i="6"/>
  <c r="E7" i="9"/>
  <c r="E9" i="9"/>
  <c r="E10" i="9"/>
  <c r="E11" i="9"/>
  <c r="E12" i="9"/>
  <c r="E13" i="9"/>
  <c r="E14" i="9"/>
  <c r="E15" i="9"/>
  <c r="E16" i="9"/>
  <c r="E17" i="9"/>
  <c r="E6" i="9"/>
  <c r="E8" i="12"/>
  <c r="E8" i="6" s="1"/>
  <c r="E19" i="5"/>
  <c r="E69" i="5" s="1"/>
  <c r="E8" i="9" l="1"/>
  <c r="B45" i="10"/>
  <c r="B38" i="10"/>
  <c r="C22" i="10"/>
  <c r="D22" i="10" s="1"/>
  <c r="C23" i="10"/>
  <c r="D23" i="10" s="1"/>
  <c r="C20" i="10"/>
  <c r="D20" i="10" s="1"/>
  <c r="C5" i="10"/>
  <c r="C6" i="10"/>
  <c r="D6" i="10" s="1"/>
  <c r="C7" i="10"/>
  <c r="D7" i="10" s="1"/>
  <c r="C8" i="10"/>
  <c r="D8" i="10" s="1"/>
  <c r="C9" i="10"/>
  <c r="C10" i="10"/>
  <c r="D10" i="10" s="1"/>
  <c r="C11" i="10"/>
  <c r="D11" i="10" s="1"/>
  <c r="C12" i="10"/>
  <c r="D12" i="10" s="1"/>
  <c r="C13" i="10"/>
  <c r="D13" i="10" s="1"/>
  <c r="C14" i="10"/>
  <c r="D14" i="10" s="1"/>
  <c r="C18" i="10"/>
  <c r="C19" i="10"/>
  <c r="D19" i="10" s="1"/>
  <c r="C15" i="10"/>
  <c r="D15" i="10" s="1"/>
  <c r="C21" i="10"/>
  <c r="D21" i="10" s="1"/>
  <c r="D41" i="12"/>
  <c r="C41" i="12"/>
  <c r="B41" i="12"/>
  <c r="A29" i="12" a="1"/>
  <c r="A39" i="12" s="1"/>
  <c r="G18" i="12"/>
  <c r="G17" i="12" s="1"/>
  <c r="H17" i="12" s="1"/>
  <c r="C18" i="12"/>
  <c r="C19" i="12" s="1"/>
  <c r="I17" i="12"/>
  <c r="J17" i="12" s="1"/>
  <c r="F17" i="12"/>
  <c r="I16" i="12"/>
  <c r="J16" i="12" s="1"/>
  <c r="F16" i="12"/>
  <c r="I15" i="12"/>
  <c r="J15" i="12" s="1"/>
  <c r="F15" i="12"/>
  <c r="I14" i="12"/>
  <c r="J14" i="12" s="1"/>
  <c r="F14" i="12"/>
  <c r="I13" i="12"/>
  <c r="J13" i="12" s="1"/>
  <c r="F13" i="12"/>
  <c r="I12" i="12"/>
  <c r="J12" i="12" s="1"/>
  <c r="F12" i="12"/>
  <c r="I11" i="12"/>
  <c r="J11" i="12" s="1"/>
  <c r="F11" i="12"/>
  <c r="I10" i="12"/>
  <c r="J10" i="12" s="1"/>
  <c r="F10" i="12"/>
  <c r="I9" i="12"/>
  <c r="J9" i="12" s="1"/>
  <c r="F9" i="12"/>
  <c r="I8" i="12"/>
  <c r="J8" i="12" s="1"/>
  <c r="F8" i="12"/>
  <c r="J7" i="12"/>
  <c r="I7" i="12"/>
  <c r="F7" i="12"/>
  <c r="I6" i="12"/>
  <c r="J6" i="12" s="1"/>
  <c r="F6" i="12"/>
  <c r="I6" i="9"/>
  <c r="J6" i="9" s="1"/>
  <c r="C26" i="10" l="1"/>
  <c r="D9" i="10"/>
  <c r="D25" i="10" s="1"/>
  <c r="C25" i="10"/>
  <c r="C27" i="10" s="1"/>
  <c r="D5" i="10"/>
  <c r="D18" i="10"/>
  <c r="D26" i="10" s="1"/>
  <c r="F18" i="12"/>
  <c r="B20" i="12" s="1"/>
  <c r="G6" i="12"/>
  <c r="H6" i="12" s="1"/>
  <c r="G14" i="12"/>
  <c r="H14" i="12" s="1"/>
  <c r="G10" i="12"/>
  <c r="H10" i="12" s="1"/>
  <c r="J18" i="12"/>
  <c r="A29" i="12"/>
  <c r="A33" i="12"/>
  <c r="A37" i="12"/>
  <c r="G8" i="12"/>
  <c r="H8" i="12" s="1"/>
  <c r="G12" i="12"/>
  <c r="H12" i="12" s="1"/>
  <c r="G16" i="12"/>
  <c r="H16" i="12" s="1"/>
  <c r="A30" i="12"/>
  <c r="A34" i="12"/>
  <c r="A38" i="12"/>
  <c r="A32" i="12"/>
  <c r="A36" i="12"/>
  <c r="A40" i="12"/>
  <c r="G7" i="12"/>
  <c r="H7" i="12" s="1"/>
  <c r="G11" i="12"/>
  <c r="H11" i="12" s="1"/>
  <c r="G15" i="12"/>
  <c r="H15" i="12" s="1"/>
  <c r="G9" i="12"/>
  <c r="H9" i="12" s="1"/>
  <c r="G13" i="12"/>
  <c r="H13" i="12" s="1"/>
  <c r="A31" i="12"/>
  <c r="A35" i="12"/>
  <c r="D27" i="10" l="1"/>
  <c r="H18" i="12"/>
  <c r="B22" i="12"/>
  <c r="B21" i="12"/>
  <c r="F41" i="5" l="1"/>
  <c r="E41" i="5"/>
  <c r="E42" i="5"/>
  <c r="E43" i="5" s="1"/>
  <c r="F42" i="5"/>
  <c r="F43" i="5" s="1"/>
  <c r="E49" i="5"/>
  <c r="E50" i="5" s="1"/>
  <c r="E59" i="5" s="1"/>
  <c r="F49" i="5"/>
  <c r="G49" i="5"/>
  <c r="H49" i="5"/>
  <c r="F44" i="5" l="1"/>
  <c r="E44" i="5"/>
  <c r="F18" i="5"/>
  <c r="E64" i="5" l="1"/>
  <c r="E90" i="5"/>
  <c r="B41" i="9"/>
  <c r="C41" i="6"/>
  <c r="B41" i="6"/>
  <c r="F6" i="6"/>
  <c r="I6" i="6"/>
  <c r="J6" i="6" s="1"/>
  <c r="F31" i="5"/>
  <c r="O14" i="5"/>
  <c r="G18" i="5"/>
  <c r="M69" i="5"/>
  <c r="N62" i="5"/>
  <c r="O62" i="5"/>
  <c r="P62" i="5"/>
  <c r="M62" i="5"/>
  <c r="M54" i="5"/>
  <c r="N54" i="5"/>
  <c r="O54" i="5"/>
  <c r="P54" i="5"/>
  <c r="M55" i="5"/>
  <c r="N55" i="5"/>
  <c r="O55" i="5"/>
  <c r="P55" i="5"/>
  <c r="M56" i="5"/>
  <c r="N56" i="5"/>
  <c r="O56" i="5"/>
  <c r="P56" i="5"/>
  <c r="M57" i="5"/>
  <c r="N57" i="5"/>
  <c r="O57" i="5"/>
  <c r="P57" i="5"/>
  <c r="M53" i="5"/>
  <c r="P53" i="5"/>
  <c r="O53" i="5"/>
  <c r="N53" i="5"/>
  <c r="N51" i="5"/>
  <c r="O51" i="5"/>
  <c r="P51" i="5"/>
  <c r="M51" i="5"/>
  <c r="M49" i="5"/>
  <c r="N49" i="5"/>
  <c r="O49" i="5"/>
  <c r="P49" i="5"/>
  <c r="M20" i="5"/>
  <c r="N20" i="5"/>
  <c r="O20" i="5"/>
  <c r="P20" i="5"/>
  <c r="N21" i="5"/>
  <c r="O21" i="5"/>
  <c r="P21" i="5"/>
  <c r="N16" i="5"/>
  <c r="O16" i="5"/>
  <c r="P16" i="5"/>
  <c r="N17" i="5"/>
  <c r="O17" i="5"/>
  <c r="P17" i="5"/>
  <c r="M17" i="5"/>
  <c r="M16" i="5"/>
  <c r="O12" i="5"/>
  <c r="O11" i="5"/>
  <c r="N24" i="5"/>
  <c r="O24" i="5"/>
  <c r="P24" i="5"/>
  <c r="O5" i="5"/>
  <c r="N5" i="5"/>
  <c r="P5" i="5"/>
  <c r="G13" i="5"/>
  <c r="F7" i="5"/>
  <c r="F45" i="5" s="1"/>
  <c r="G7" i="5"/>
  <c r="H7" i="5"/>
  <c r="E7" i="5"/>
  <c r="E45" i="5" s="1"/>
  <c r="G31" i="5"/>
  <c r="D41" i="9"/>
  <c r="C41" i="9"/>
  <c r="A29" i="9" a="1"/>
  <c r="A39" i="9" s="1"/>
  <c r="G18" i="9"/>
  <c r="G17" i="9" s="1"/>
  <c r="H17" i="9" s="1"/>
  <c r="C18" i="9"/>
  <c r="C19" i="9" s="1"/>
  <c r="I17" i="9"/>
  <c r="J17" i="9" s="1"/>
  <c r="F17" i="9"/>
  <c r="I16" i="9"/>
  <c r="J16" i="9" s="1"/>
  <c r="F16" i="9"/>
  <c r="I15" i="9"/>
  <c r="J15" i="9" s="1"/>
  <c r="F15" i="9"/>
  <c r="I14" i="9"/>
  <c r="J14" i="9" s="1"/>
  <c r="F14" i="9"/>
  <c r="I13" i="9"/>
  <c r="J13" i="9" s="1"/>
  <c r="F13" i="9"/>
  <c r="I12" i="9"/>
  <c r="J12" i="9" s="1"/>
  <c r="F12" i="9"/>
  <c r="I11" i="9"/>
  <c r="J11" i="9" s="1"/>
  <c r="F11" i="9"/>
  <c r="I10" i="9"/>
  <c r="J10" i="9" s="1"/>
  <c r="F10" i="9"/>
  <c r="I9" i="9"/>
  <c r="J9" i="9" s="1"/>
  <c r="F9" i="9"/>
  <c r="I8" i="9"/>
  <c r="J8" i="9" s="1"/>
  <c r="F8" i="9"/>
  <c r="I7" i="9"/>
  <c r="J7" i="9" s="1"/>
  <c r="F7" i="9"/>
  <c r="F6" i="9"/>
  <c r="H18" i="5"/>
  <c r="H31" i="5"/>
  <c r="I8" i="6"/>
  <c r="J8" i="6" s="1"/>
  <c r="I15" i="6"/>
  <c r="J15" i="6" s="1"/>
  <c r="E31" i="5"/>
  <c r="E30" i="5"/>
  <c r="I16" i="6"/>
  <c r="J16" i="6" s="1"/>
  <c r="I9" i="6"/>
  <c r="J9" i="6" s="1"/>
  <c r="I10" i="6"/>
  <c r="J10" i="6" s="1"/>
  <c r="I11" i="6"/>
  <c r="J11" i="6" s="1"/>
  <c r="I14" i="6"/>
  <c r="J14" i="6" s="1"/>
  <c r="F8" i="6"/>
  <c r="F10" i="6"/>
  <c r="F11" i="6"/>
  <c r="F9" i="6"/>
  <c r="F12" i="6"/>
  <c r="F13" i="6"/>
  <c r="F16" i="6"/>
  <c r="F15" i="6"/>
  <c r="I7" i="6"/>
  <c r="J7" i="6"/>
  <c r="I12" i="6"/>
  <c r="J12" i="6" s="1"/>
  <c r="I13" i="6"/>
  <c r="J13" i="6"/>
  <c r="I17" i="6"/>
  <c r="J17" i="6" s="1"/>
  <c r="F7" i="6"/>
  <c r="F14" i="6"/>
  <c r="F17" i="6"/>
  <c r="G18" i="6"/>
  <c r="G11" i="6" s="1"/>
  <c r="H11" i="6" s="1"/>
  <c r="A29" i="6" a="1"/>
  <c r="A33" i="6" s="1"/>
  <c r="C18" i="6"/>
  <c r="C19" i="6" s="1"/>
  <c r="D41" i="6"/>
  <c r="M41" i="5"/>
  <c r="N42" i="5"/>
  <c r="N41" i="5"/>
  <c r="A29" i="6" l="1"/>
  <c r="A35" i="6"/>
  <c r="A31" i="6"/>
  <c r="A39" i="6"/>
  <c r="A38" i="6"/>
  <c r="A32" i="6"/>
  <c r="A36" i="6"/>
  <c r="A30" i="6"/>
  <c r="A37" i="6"/>
  <c r="A40" i="6"/>
  <c r="A34" i="6"/>
  <c r="G32" i="5"/>
  <c r="O13" i="5"/>
  <c r="M18" i="5"/>
  <c r="M19" i="5" s="1"/>
  <c r="M50" i="5" s="1"/>
  <c r="G13" i="9"/>
  <c r="H13" i="9" s="1"/>
  <c r="G8" i="9"/>
  <c r="H8" i="9" s="1"/>
  <c r="G14" i="9"/>
  <c r="H14" i="9" s="1"/>
  <c r="G11" i="9"/>
  <c r="H11" i="9" s="1"/>
  <c r="G12" i="9"/>
  <c r="H12" i="9" s="1"/>
  <c r="G15" i="9"/>
  <c r="H15" i="9" s="1"/>
  <c r="G7" i="9"/>
  <c r="H7" i="9" s="1"/>
  <c r="G10" i="9"/>
  <c r="H10" i="9" s="1"/>
  <c r="O31" i="5"/>
  <c r="J18" i="6"/>
  <c r="B21" i="6" s="1"/>
  <c r="G42" i="5" s="1"/>
  <c r="G43" i="5" s="1"/>
  <c r="F18" i="6"/>
  <c r="B20" i="6" s="1"/>
  <c r="F18" i="9"/>
  <c r="B20" i="9" s="1"/>
  <c r="G9" i="9"/>
  <c r="H9" i="9" s="1"/>
  <c r="P7" i="5"/>
  <c r="E32" i="5"/>
  <c r="E63" i="5" s="1"/>
  <c r="O18" i="5"/>
  <c r="P31" i="5"/>
  <c r="M31" i="5"/>
  <c r="P18" i="5"/>
  <c r="P19" i="5" s="1"/>
  <c r="P50" i="5" s="1"/>
  <c r="G6" i="9"/>
  <c r="H6" i="9" s="1"/>
  <c r="N18" i="5"/>
  <c r="N19" i="5" s="1"/>
  <c r="N50" i="5" s="1"/>
  <c r="M42" i="5"/>
  <c r="M43" i="5" s="1"/>
  <c r="O7" i="5"/>
  <c r="M30" i="5"/>
  <c r="N43" i="5"/>
  <c r="N7" i="5"/>
  <c r="N31" i="5"/>
  <c r="M7" i="5"/>
  <c r="G19" i="5"/>
  <c r="F19" i="5"/>
  <c r="H19" i="5"/>
  <c r="H69" i="5" s="1"/>
  <c r="H32" i="5"/>
  <c r="G6" i="6"/>
  <c r="H6" i="6" s="1"/>
  <c r="G13" i="6"/>
  <c r="H13" i="6" s="1"/>
  <c r="G12" i="6"/>
  <c r="H12" i="6" s="1"/>
  <c r="G7" i="6"/>
  <c r="H7" i="6" s="1"/>
  <c r="G14" i="6"/>
  <c r="H14" i="6" s="1"/>
  <c r="G15" i="6"/>
  <c r="H15" i="6" s="1"/>
  <c r="G9" i="6"/>
  <c r="H9" i="6" s="1"/>
  <c r="G8" i="6"/>
  <c r="H8" i="6" s="1"/>
  <c r="G17" i="6"/>
  <c r="H17" i="6" s="1"/>
  <c r="G10" i="6"/>
  <c r="H10" i="6" s="1"/>
  <c r="G16" i="6"/>
  <c r="H16" i="6" s="1"/>
  <c r="F32" i="5"/>
  <c r="J18" i="9"/>
  <c r="A32" i="9"/>
  <c r="A29" i="9"/>
  <c r="A33" i="9"/>
  <c r="A37" i="9"/>
  <c r="A40" i="9"/>
  <c r="G16" i="9"/>
  <c r="H16" i="9" s="1"/>
  <c r="A30" i="9"/>
  <c r="A34" i="9"/>
  <c r="A38" i="9"/>
  <c r="A36" i="9"/>
  <c r="A31" i="9"/>
  <c r="A35" i="9"/>
  <c r="E89" i="5" l="1"/>
  <c r="H30" i="5"/>
  <c r="P69" i="5"/>
  <c r="P30" i="5" s="1"/>
  <c r="F64" i="5"/>
  <c r="F69" i="5"/>
  <c r="G50" i="5"/>
  <c r="G69" i="5"/>
  <c r="B22" i="6"/>
  <c r="H41" i="5" s="1"/>
  <c r="P41" i="5" s="1"/>
  <c r="H50" i="5"/>
  <c r="H59" i="5" s="1"/>
  <c r="H63" i="5"/>
  <c r="G63" i="5"/>
  <c r="G89" i="5"/>
  <c r="F63" i="5"/>
  <c r="F89" i="5"/>
  <c r="E65" i="5"/>
  <c r="E84" i="5" s="1"/>
  <c r="M32" i="5"/>
  <c r="M89" i="5" s="1"/>
  <c r="O32" i="5"/>
  <c r="O89" i="5" s="1"/>
  <c r="P32" i="5"/>
  <c r="P89" i="5" s="1"/>
  <c r="F50" i="5"/>
  <c r="F59" i="5" s="1"/>
  <c r="F90" i="5" s="1"/>
  <c r="O42" i="5"/>
  <c r="O43" i="5" s="1"/>
  <c r="H42" i="5"/>
  <c r="H18" i="9"/>
  <c r="E33" i="5"/>
  <c r="H33" i="5"/>
  <c r="O19" i="5"/>
  <c r="O50" i="5" s="1"/>
  <c r="O59" i="5" s="1"/>
  <c r="O65" i="5" s="1"/>
  <c r="G59" i="5"/>
  <c r="M59" i="5"/>
  <c r="M65" i="5" s="1"/>
  <c r="P59" i="5"/>
  <c r="P65" i="5" s="1"/>
  <c r="N44" i="5"/>
  <c r="N32" i="5"/>
  <c r="H89" i="5"/>
  <c r="H18" i="6"/>
  <c r="B22" i="9"/>
  <c r="B21" i="9"/>
  <c r="O69" i="5" l="1"/>
  <c r="O30" i="5" s="1"/>
  <c r="G30" i="5"/>
  <c r="F30" i="5"/>
  <c r="N69" i="5"/>
  <c r="N30" i="5" s="1"/>
  <c r="N33" i="5" s="1"/>
  <c r="G65" i="5"/>
  <c r="H65" i="5"/>
  <c r="G41" i="5"/>
  <c r="O41" i="5" s="1"/>
  <c r="E91" i="5"/>
  <c r="M33" i="5"/>
  <c r="F65" i="5"/>
  <c r="O90" i="5"/>
  <c r="O91" i="5" s="1"/>
  <c r="N63" i="5"/>
  <c r="N89" i="5"/>
  <c r="M90" i="5"/>
  <c r="M91" i="5" s="1"/>
  <c r="N45" i="5"/>
  <c r="N64" i="5"/>
  <c r="M63" i="5"/>
  <c r="P33" i="5"/>
  <c r="P63" i="5"/>
  <c r="O63" i="5"/>
  <c r="O33" i="5"/>
  <c r="H43" i="5"/>
  <c r="P42" i="5"/>
  <c r="P43" i="5" s="1"/>
  <c r="P90" i="5" s="1"/>
  <c r="P91" i="5" s="1"/>
  <c r="N59" i="5"/>
  <c r="N90" i="5" s="1"/>
  <c r="G39" i="5"/>
  <c r="G40" i="5" s="1"/>
  <c r="G44" i="5" s="1"/>
  <c r="G90" i="5" s="1"/>
  <c r="G91" i="5" s="1"/>
  <c r="G38" i="5"/>
  <c r="O38" i="5" s="1"/>
  <c r="F84" i="5" l="1"/>
  <c r="F33" i="5"/>
  <c r="G33" i="5"/>
  <c r="N91" i="5"/>
  <c r="H44" i="5"/>
  <c r="N65" i="5"/>
  <c r="N66" i="5" s="1"/>
  <c r="N71" i="5" s="1"/>
  <c r="P44" i="5"/>
  <c r="O39" i="5"/>
  <c r="M44" i="5"/>
  <c r="E66" i="5"/>
  <c r="E71" i="5" s="1"/>
  <c r="E86" i="5" s="1"/>
  <c r="F66" i="5"/>
  <c r="F71" i="5" s="1"/>
  <c r="F91" i="5"/>
  <c r="H64" i="5" l="1"/>
  <c r="H84" i="5" s="1"/>
  <c r="H90" i="5"/>
  <c r="H91" i="5" s="1"/>
  <c r="F74" i="5"/>
  <c r="E74" i="5"/>
  <c r="E78" i="5"/>
  <c r="O40" i="5"/>
  <c r="O44" i="5" s="1"/>
  <c r="H45" i="5"/>
  <c r="G45" i="5"/>
  <c r="G64" i="5"/>
  <c r="G84" i="5" s="1"/>
  <c r="N84" i="5"/>
  <c r="R85" i="5" s="1"/>
  <c r="P45" i="5"/>
  <c r="P64" i="5"/>
  <c r="M45" i="5"/>
  <c r="M64" i="5"/>
  <c r="N74" i="5"/>
  <c r="H66" i="5" l="1"/>
  <c r="H71" i="5" s="1"/>
  <c r="H74" i="5" s="1"/>
  <c r="R75" i="5"/>
  <c r="O45" i="5"/>
  <c r="O64" i="5"/>
  <c r="O84" i="5" s="1"/>
  <c r="R84" i="5"/>
  <c r="E80" i="5"/>
  <c r="G66" i="5"/>
  <c r="G71" i="5" s="1"/>
  <c r="P66" i="5"/>
  <c r="P84" i="5"/>
  <c r="T85" i="5" s="1"/>
  <c r="M84" i="5"/>
  <c r="M66" i="5"/>
  <c r="M71" i="5" s="1"/>
  <c r="N86" i="5"/>
  <c r="R74" i="5"/>
  <c r="N78" i="5"/>
  <c r="N81" i="5"/>
  <c r="N80" i="5"/>
  <c r="E81" i="5"/>
  <c r="F80" i="5"/>
  <c r="F81" i="5"/>
  <c r="F86" i="5"/>
  <c r="F78" i="5"/>
  <c r="H80" i="5" l="1"/>
  <c r="H86" i="5"/>
  <c r="H81" i="5"/>
  <c r="H78" i="5"/>
  <c r="P71" i="5"/>
  <c r="P74" i="5" s="1"/>
  <c r="O66" i="5"/>
  <c r="S85" i="5"/>
  <c r="Q84" i="5"/>
  <c r="Q85" i="5"/>
  <c r="R86" i="5"/>
  <c r="R87" i="5"/>
  <c r="G74" i="5"/>
  <c r="G80" i="5"/>
  <c r="G86" i="5"/>
  <c r="G81" i="5"/>
  <c r="G78" i="5"/>
  <c r="S84" i="5"/>
  <c r="T84" i="5"/>
  <c r="R78" i="5"/>
  <c r="R79" i="5"/>
  <c r="M74" i="5"/>
  <c r="Q74" i="5" s="1"/>
  <c r="M78" i="5"/>
  <c r="Q79" i="5" s="1"/>
  <c r="M86" i="5"/>
  <c r="Q87" i="5" s="1"/>
  <c r="M80" i="5"/>
  <c r="M81" i="5"/>
  <c r="P78" i="5" l="1"/>
  <c r="T79" i="5" s="1"/>
  <c r="P81" i="5"/>
  <c r="P80" i="5"/>
  <c r="T75" i="5"/>
  <c r="T74" i="5"/>
  <c r="P86" i="5"/>
  <c r="T86" i="5" s="1"/>
  <c r="O71" i="5"/>
  <c r="O74" i="5" s="1"/>
  <c r="Q78" i="5"/>
  <c r="Q86" i="5"/>
  <c r="Q75" i="5"/>
  <c r="T78" i="5" l="1"/>
  <c r="T87" i="5"/>
  <c r="O78" i="5"/>
  <c r="S78" i="5" s="1"/>
  <c r="O81" i="5"/>
  <c r="O80" i="5"/>
  <c r="S74" i="5"/>
  <c r="S75" i="5"/>
  <c r="O86" i="5"/>
  <c r="S79" i="5" l="1"/>
  <c r="S86" i="5"/>
  <c r="S87" i="5"/>
</calcChain>
</file>

<file path=xl/sharedStrings.xml><?xml version="1.0" encoding="utf-8"?>
<sst xmlns="http://schemas.openxmlformats.org/spreadsheetml/2006/main" count="326" uniqueCount="168">
  <si>
    <t>Weights</t>
  </si>
  <si>
    <t>Purchase wt</t>
  </si>
  <si>
    <t>lb</t>
  </si>
  <si>
    <t>Delivered purchase price</t>
  </si>
  <si>
    <t>$/cwt</t>
  </si>
  <si>
    <t>Expected sale price</t>
  </si>
  <si>
    <t>$/hd</t>
  </si>
  <si>
    <t>Interest</t>
  </si>
  <si>
    <t>Expected</t>
  </si>
  <si>
    <t>Break-even prices</t>
  </si>
  <si>
    <t>Purchase</t>
  </si>
  <si>
    <t>Sale</t>
  </si>
  <si>
    <t>Financial</t>
  </si>
  <si>
    <t>Monies req'd for cattle purchase</t>
  </si>
  <si>
    <t>Monies req'd for operating</t>
  </si>
  <si>
    <t xml:space="preserve">  Total monies req'd</t>
  </si>
  <si>
    <t>Prices</t>
  </si>
  <si>
    <t>Gross revenue</t>
  </si>
  <si>
    <t>Purchase cost</t>
  </si>
  <si>
    <t xml:space="preserve">  Gross margin</t>
  </si>
  <si>
    <t>Performance</t>
  </si>
  <si>
    <t>Death loss</t>
  </si>
  <si>
    <t>%</t>
  </si>
  <si>
    <t>DM basis</t>
  </si>
  <si>
    <t>Feed costs</t>
  </si>
  <si>
    <t>$/ton</t>
  </si>
  <si>
    <t>Marketing</t>
  </si>
  <si>
    <t xml:space="preserve">  Sales commissions</t>
  </si>
  <si>
    <t xml:space="preserve">  Transportation</t>
  </si>
  <si>
    <t xml:space="preserve">  Beef Checkoff</t>
  </si>
  <si>
    <t xml:space="preserve">  Options/Hedge cost</t>
  </si>
  <si>
    <t>Veterinary &amp; medication</t>
  </si>
  <si>
    <t>Other input</t>
  </si>
  <si>
    <t xml:space="preserve">  Interest rate</t>
  </si>
  <si>
    <t xml:space="preserve">  Interest on cattle</t>
  </si>
  <si>
    <t xml:space="preserve">  Interest on feed</t>
  </si>
  <si>
    <t xml:space="preserve">  Interest on other operating</t>
  </si>
  <si>
    <t xml:space="preserve">    Total interest</t>
  </si>
  <si>
    <t>Upside potential</t>
  </si>
  <si>
    <t>Downside risk</t>
  </si>
  <si>
    <t>Feed Proportions and Prices</t>
  </si>
  <si>
    <t>Percentage</t>
  </si>
  <si>
    <t>in diet</t>
  </si>
  <si>
    <t>lb per</t>
  </si>
  <si>
    <t>Price</t>
  </si>
  <si>
    <t>Portion</t>
  </si>
  <si>
    <t xml:space="preserve">         lb/hd/day</t>
  </si>
  <si>
    <t>Cost in</t>
  </si>
  <si>
    <t>Feed ingredient</t>
  </si>
  <si>
    <t>% DM</t>
  </si>
  <si>
    <t>(DM basis)</t>
  </si>
  <si>
    <t>price unit</t>
  </si>
  <si>
    <t>(as-fed basis)</t>
  </si>
  <si>
    <t>of DM</t>
  </si>
  <si>
    <t>DM</t>
  </si>
  <si>
    <t>as-fed</t>
  </si>
  <si>
    <t>/lb DM</t>
  </si>
  <si>
    <t>diet DM</t>
  </si>
  <si>
    <t>Corn</t>
  </si>
  <si>
    <t>By-prod</t>
  </si>
  <si>
    <t>Corn silage</t>
  </si>
  <si>
    <t>Hay</t>
  </si>
  <si>
    <t>SBM</t>
  </si>
  <si>
    <t>Urea</t>
  </si>
  <si>
    <t>Macro-minerals</t>
  </si>
  <si>
    <t>Vitamin-trace minerals</t>
  </si>
  <si>
    <t>Ionophore</t>
  </si>
  <si>
    <t xml:space="preserve">Other </t>
  </si>
  <si>
    <t xml:space="preserve">   Total</t>
  </si>
  <si>
    <t>Diet DM</t>
  </si>
  <si>
    <t>Price/ton (DM basis)</t>
  </si>
  <si>
    <t>Price/ton (as-fed basis)</t>
  </si>
  <si>
    <t>Optional</t>
  </si>
  <si>
    <t>NEm,</t>
  </si>
  <si>
    <t>NEg,</t>
  </si>
  <si>
    <t>CP,</t>
  </si>
  <si>
    <t>Mcal/lb</t>
  </si>
  <si>
    <t>Shrunk sale wt</t>
  </si>
  <si>
    <t>Daily gain</t>
  </si>
  <si>
    <t>Feed/gain</t>
  </si>
  <si>
    <t>Out shrink</t>
  </si>
  <si>
    <t>d</t>
  </si>
  <si>
    <t>Yardage</t>
  </si>
  <si>
    <t xml:space="preserve">  Rate</t>
  </si>
  <si>
    <t>$/hd/d</t>
  </si>
  <si>
    <t xml:space="preserve">  Amount</t>
  </si>
  <si>
    <t>DDGS</t>
  </si>
  <si>
    <t>Manure</t>
  </si>
  <si>
    <t>Beef Steers</t>
  </si>
  <si>
    <t>Holstein Steers</t>
  </si>
  <si>
    <t>Supplement &amp; Limestone</t>
  </si>
  <si>
    <t>Grower Diet</t>
  </si>
  <si>
    <t>Finisher Diet</t>
  </si>
  <si>
    <t>Total days on feed</t>
  </si>
  <si>
    <t>Days on grower ration</t>
  </si>
  <si>
    <t xml:space="preserve">Days on finisher ration </t>
  </si>
  <si>
    <t xml:space="preserve">  Finisher Feed price (as-fed basis)</t>
  </si>
  <si>
    <t xml:space="preserve">  Finisher Feed price (DM basis)</t>
  </si>
  <si>
    <t xml:space="preserve">  Finisher Feed cost</t>
  </si>
  <si>
    <t xml:space="preserve">  Grower Feed price (as-fed basis)</t>
  </si>
  <si>
    <t xml:space="preserve">  Grower Feed price (DM basis)</t>
  </si>
  <si>
    <t xml:space="preserve">  Grower Feed cost</t>
  </si>
  <si>
    <t>Weight when switch to finisher ration</t>
  </si>
  <si>
    <t>Total Gain</t>
  </si>
  <si>
    <t>Sensitivity Analysis</t>
  </si>
  <si>
    <t>Enter in % increase or decrease here</t>
  </si>
  <si>
    <t>Intermediate and long term interest</t>
  </si>
  <si>
    <t>Miscellaneous</t>
  </si>
  <si>
    <t>Machinery depreciation and lease</t>
  </si>
  <si>
    <t xml:space="preserve">Insurance </t>
  </si>
  <si>
    <t>Due and fees</t>
  </si>
  <si>
    <t xml:space="preserve">Fuel and oil </t>
  </si>
  <si>
    <t xml:space="preserve">Utilities </t>
  </si>
  <si>
    <t>Paid labor</t>
  </si>
  <si>
    <t xml:space="preserve">Paid management </t>
  </si>
  <si>
    <t>Unpaid labor</t>
  </si>
  <si>
    <t xml:space="preserve">Unpaid management </t>
  </si>
  <si>
    <t xml:space="preserve">Machinery repairs </t>
  </si>
  <si>
    <t xml:space="preserve">Facility repairs </t>
  </si>
  <si>
    <t xml:space="preserve">Building/facility depreciation and lease </t>
  </si>
  <si>
    <t xml:space="preserve">Bedding </t>
  </si>
  <si>
    <t xml:space="preserve">Advertising </t>
  </si>
  <si>
    <t xml:space="preserve">Add total for yardage from VC and FC to be able to calculate returns over VC and total costs </t>
  </si>
  <si>
    <t>TOTAL YARDAGE</t>
  </si>
  <si>
    <t>No of cattle fed year</t>
  </si>
  <si>
    <t>Average number of days of feed</t>
  </si>
  <si>
    <t>Per head</t>
  </si>
  <si>
    <t>Per head, Per day</t>
  </si>
  <si>
    <t xml:space="preserve">Help with straight line depreciation </t>
  </si>
  <si>
    <t xml:space="preserve">These are the number from University of Wisconsin </t>
  </si>
  <si>
    <t>https://fyi.extension.wisc.edu/wbic/files/2015/08/UW-Extension-Holstein-Steer-Finishing-Yardage-summary-final.pdf</t>
  </si>
  <si>
    <t>Annual depreciation= (initial cost-salvage value)/useful life</t>
  </si>
  <si>
    <t>Initial cost</t>
  </si>
  <si>
    <t>Salvage value</t>
  </si>
  <si>
    <t>useful life</t>
  </si>
  <si>
    <t>years</t>
  </si>
  <si>
    <t>Building</t>
  </si>
  <si>
    <t>Equipment</t>
  </si>
  <si>
    <t>Annual building depreciation</t>
  </si>
  <si>
    <t>/year</t>
  </si>
  <si>
    <t>Property Taxes</t>
  </si>
  <si>
    <t>Variable or operating costs</t>
  </si>
  <si>
    <t>Fixed costs</t>
  </si>
  <si>
    <t>Variable costs- yardage</t>
  </si>
  <si>
    <t>Fixed costs-yardage</t>
  </si>
  <si>
    <t>600~1375</t>
  </si>
  <si>
    <t>GROSS MARGIN</t>
  </si>
  <si>
    <t>Total feed cost per CWT of gain</t>
  </si>
  <si>
    <t>OPERATING AND YARDAGE COSTS</t>
  </si>
  <si>
    <t>Total feed cost</t>
  </si>
  <si>
    <t>Operating and yardage cost subtotal</t>
  </si>
  <si>
    <t>TOTAL OPERATING AND YARDAGE COST</t>
  </si>
  <si>
    <t>INCOME OVER VARIABLE COSTS</t>
  </si>
  <si>
    <t>INCOME OVER TOTAL COSTS</t>
  </si>
  <si>
    <t>Yardage and other operating</t>
  </si>
  <si>
    <t xml:space="preserve">Value of manure (net value of nitrogen less application costs) </t>
  </si>
  <si>
    <t>Yearly cost</t>
  </si>
  <si>
    <t>Feedlot finish feed- HOLSTEIN GROWER</t>
  </si>
  <si>
    <t>Feedlot finish feed- HOLSTEIN FINISHER</t>
  </si>
  <si>
    <t>Feedlot Enterprise Budget</t>
  </si>
  <si>
    <t>Enter your values in the grey boxes with green text</t>
  </si>
  <si>
    <t>Nutrient composition on DM basis</t>
  </si>
  <si>
    <t>Change from original</t>
  </si>
  <si>
    <t>Feedlot finish feed- BEEF FINISHER</t>
  </si>
  <si>
    <t>800~1425</t>
  </si>
  <si>
    <t>900~1500</t>
  </si>
  <si>
    <t>450~1400</t>
  </si>
  <si>
    <t>*In Feb 2021, JBS Holstein basis= $12 under, JBS Native Basis=even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</si>
</sst>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0.00000_)"/>
    <numFmt numFmtId="165" formatCode="0.00_)"/>
    <numFmt numFmtId="166" formatCode="0.0000_)"/>
    <numFmt numFmtId="167" formatCode=";;;"/>
    <numFmt numFmtId="168" formatCode="&quot;$&quot;#,##0.000_);[Red]\(&quot;$&quot;#,##0.000\)"/>
    <numFmt numFmtId="169" formatCode="0;0;"/>
    <numFmt numFmtId="170" formatCode="&quot;$&quot;#,##0.00"/>
    <numFmt numFmtId="171" formatCode="&quot;$&quot;#,##0.0"/>
  </numFmts>
  <fonts count="26" x14ac:knownFonts="1">
    <font>
      <sz val="10"/>
      <name val="Arial"/>
    </font>
    <font>
      <b/>
      <sz val="10"/>
      <name val="Arial"/>
      <family val="2"/>
    </font>
    <font>
      <i/>
      <sz val="10"/>
      <name val="Arial"/>
      <family val="2"/>
    </font>
    <font>
      <b/>
      <i/>
      <sz val="10"/>
      <name val="Arial"/>
      <family val="2"/>
    </font>
    <font>
      <sz val="10"/>
      <name val="Arial"/>
      <family val="2"/>
    </font>
    <font>
      <sz val="10"/>
      <name val="Arial"/>
      <family val="2"/>
    </font>
    <font>
      <sz val="10"/>
      <color indexed="8"/>
      <name val="Arial"/>
      <family val="2"/>
    </font>
    <font>
      <b/>
      <sz val="26"/>
      <name val="Arial"/>
      <family val="2"/>
    </font>
    <font>
      <i/>
      <sz val="12"/>
      <name val="Arial"/>
      <family val="2"/>
    </font>
    <font>
      <sz val="10"/>
      <color indexed="10"/>
      <name val="Arial"/>
      <family val="2"/>
    </font>
    <font>
      <b/>
      <sz val="22"/>
      <name val="Arial"/>
      <family val="2"/>
    </font>
    <font>
      <sz val="16"/>
      <name val="Arial"/>
      <family val="2"/>
    </font>
    <font>
      <b/>
      <sz val="14"/>
      <name val="Arial"/>
      <family val="2"/>
    </font>
    <font>
      <sz val="8"/>
      <name val="Arial"/>
      <family val="2"/>
    </font>
    <font>
      <b/>
      <sz val="10"/>
      <name val="Arial"/>
      <family val="2"/>
    </font>
    <font>
      <b/>
      <u/>
      <sz val="10"/>
      <name val="Arial"/>
      <family val="2"/>
    </font>
    <font>
      <b/>
      <sz val="10"/>
      <color rgb="FF000000"/>
      <name val="Arial"/>
      <family val="2"/>
    </font>
    <font>
      <b/>
      <i/>
      <sz val="10"/>
      <name val="Arial"/>
      <family val="2"/>
    </font>
    <font>
      <u/>
      <sz val="10"/>
      <color theme="10"/>
      <name val="Arial"/>
      <family val="2"/>
    </font>
    <font>
      <b/>
      <sz val="9"/>
      <name val="Arial"/>
      <family val="2"/>
    </font>
    <font>
      <sz val="10"/>
      <name val="Arial"/>
      <family val="2"/>
    </font>
    <font>
      <sz val="10"/>
      <color rgb="FF0070C0"/>
      <name val="Arial"/>
      <family val="2"/>
    </font>
    <font>
      <sz val="10"/>
      <color rgb="FF006600"/>
      <name val="Arial"/>
      <family val="2"/>
    </font>
    <font>
      <b/>
      <sz val="10"/>
      <color rgb="FF0070C0"/>
      <name val="Arial"/>
      <family val="2"/>
    </font>
    <font>
      <b/>
      <sz val="10"/>
      <color theme="4" tint="-0.249977111117893"/>
      <name val="Arial"/>
      <family val="2"/>
    </font>
    <font>
      <sz val="10"/>
      <color theme="4" tint="-0.249977111117893"/>
      <name val="Arial"/>
      <family val="2"/>
    </font>
  </fonts>
  <fills count="11">
    <fill>
      <patternFill patternType="none"/>
    </fill>
    <fill>
      <patternFill patternType="gray125"/>
    </fill>
    <fill>
      <patternFill patternType="solid">
        <fgColor indexed="9"/>
        <bgColor indexed="64"/>
      </patternFill>
    </fill>
    <fill>
      <patternFill patternType="solid">
        <fgColor indexed="9"/>
        <bgColor indexed="22"/>
      </patternFill>
    </fill>
    <fill>
      <patternFill patternType="solid">
        <fgColor indexed="22"/>
        <bgColor indexed="64"/>
      </patternFill>
    </fill>
    <fill>
      <patternFill patternType="solid">
        <fgColor theme="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59999389629810485"/>
        <bgColor indexed="64"/>
      </patternFill>
    </fill>
  </fills>
  <borders count="7">
    <border>
      <left/>
      <right/>
      <top/>
      <bottom/>
      <diagonal/>
    </border>
    <border>
      <left/>
      <right/>
      <top style="double">
        <color indexed="64"/>
      </top>
      <bottom/>
      <diagonal/>
    </border>
    <border>
      <left/>
      <right/>
      <top/>
      <bottom style="medium">
        <color indexed="64"/>
      </bottom>
      <diagonal/>
    </border>
    <border>
      <left/>
      <right/>
      <top/>
      <bottom style="thick">
        <color indexed="64"/>
      </bottom>
      <diagonal/>
    </border>
    <border>
      <left/>
      <right/>
      <top/>
      <bottom style="double">
        <color indexed="64"/>
      </bottom>
      <diagonal/>
    </border>
    <border>
      <left/>
      <right/>
      <top/>
      <bottom style="thin">
        <color indexed="64"/>
      </bottom>
      <diagonal/>
    </border>
    <border>
      <left/>
      <right/>
      <top style="thin">
        <color indexed="64"/>
      </top>
      <bottom/>
      <diagonal/>
    </border>
  </borders>
  <cellStyleXfs count="5">
    <xf numFmtId="0" fontId="0" fillId="0" borderId="0"/>
    <xf numFmtId="44" fontId="4" fillId="0" borderId="0" applyFont="0" applyFill="0" applyBorder="0" applyAlignment="0" applyProtection="0"/>
    <xf numFmtId="9" fontId="4" fillId="0" borderId="0" applyFont="0" applyFill="0" applyBorder="0" applyAlignment="0" applyProtection="0"/>
    <xf numFmtId="0" fontId="18" fillId="0" borderId="0" applyNumberFormat="0" applyFill="0" applyBorder="0" applyAlignment="0" applyProtection="0"/>
    <xf numFmtId="43" fontId="20" fillId="0" borderId="0" applyFont="0" applyFill="0" applyBorder="0" applyAlignment="0" applyProtection="0"/>
  </cellStyleXfs>
  <cellXfs count="261">
    <xf numFmtId="0" fontId="0" fillId="0" borderId="0" xfId="0"/>
    <xf numFmtId="0" fontId="1" fillId="0" borderId="0" xfId="0" applyFont="1"/>
    <xf numFmtId="8" fontId="0" fillId="0" borderId="0" xfId="0" applyNumberFormat="1"/>
    <xf numFmtId="0" fontId="4" fillId="0" borderId="0" xfId="0" applyFont="1"/>
    <xf numFmtId="0" fontId="0" fillId="0" borderId="0" xfId="0" applyBorder="1"/>
    <xf numFmtId="0" fontId="1" fillId="0" borderId="0" xfId="0" applyFont="1" applyBorder="1"/>
    <xf numFmtId="8" fontId="0" fillId="0" borderId="0" xfId="0" applyNumberFormat="1" applyBorder="1"/>
    <xf numFmtId="0" fontId="0" fillId="0" borderId="0" xfId="0" applyFill="1"/>
    <xf numFmtId="0" fontId="5" fillId="0" borderId="0" xfId="0" applyFont="1" applyAlignment="1" applyProtection="1">
      <alignment horizontal="left"/>
    </xf>
    <xf numFmtId="0" fontId="5" fillId="0" borderId="0" xfId="0" applyFont="1" applyProtection="1"/>
    <xf numFmtId="0" fontId="5" fillId="0" borderId="0" xfId="0" applyFont="1"/>
    <xf numFmtId="164" fontId="5" fillId="0" borderId="0" xfId="0" applyNumberFormat="1" applyFont="1" applyProtection="1"/>
    <xf numFmtId="165" fontId="5" fillId="0" borderId="0" xfId="0" applyNumberFormat="1" applyFont="1" applyProtection="1"/>
    <xf numFmtId="166" fontId="6" fillId="0" borderId="1" xfId="0" applyNumberFormat="1" applyFont="1" applyFill="1" applyBorder="1" applyProtection="1"/>
    <xf numFmtId="8" fontId="0" fillId="0" borderId="0" xfId="0" applyNumberFormat="1" applyFill="1"/>
    <xf numFmtId="0" fontId="0" fillId="2" borderId="0" xfId="0" applyFill="1" applyBorder="1"/>
    <xf numFmtId="0" fontId="1" fillId="2" borderId="0" xfId="0" applyFont="1" applyFill="1" applyBorder="1"/>
    <xf numFmtId="14" fontId="4" fillId="2" borderId="0" xfId="0" applyNumberFormat="1" applyFont="1" applyFill="1" applyBorder="1"/>
    <xf numFmtId="8" fontId="0" fillId="2" borderId="0" xfId="0" applyNumberFormat="1" applyFill="1" applyBorder="1"/>
    <xf numFmtId="2" fontId="0" fillId="2" borderId="0" xfId="0" applyNumberFormat="1" applyFill="1" applyBorder="1"/>
    <xf numFmtId="0" fontId="2" fillId="2" borderId="0" xfId="0" applyFont="1" applyFill="1" applyBorder="1"/>
    <xf numFmtId="0" fontId="4" fillId="2" borderId="0" xfId="0" applyFont="1" applyFill="1" applyBorder="1"/>
    <xf numFmtId="10" fontId="0" fillId="2" borderId="0" xfId="0" applyNumberFormat="1" applyFill="1" applyBorder="1"/>
    <xf numFmtId="0" fontId="0" fillId="2" borderId="0" xfId="0" quotePrefix="1" applyFill="1" applyBorder="1" applyAlignment="1">
      <alignment horizontal="center"/>
    </xf>
    <xf numFmtId="0" fontId="0" fillId="2" borderId="0" xfId="0" applyFill="1"/>
    <xf numFmtId="0" fontId="0" fillId="3" borderId="0" xfId="0" applyFill="1" applyBorder="1"/>
    <xf numFmtId="0" fontId="0" fillId="0" borderId="0" xfId="0" applyAlignment="1">
      <alignment horizontal="center"/>
    </xf>
    <xf numFmtId="0" fontId="9" fillId="0" borderId="0" xfId="0" applyFont="1"/>
    <xf numFmtId="0" fontId="6" fillId="0" borderId="2" xfId="0" applyFont="1" applyFill="1" applyBorder="1" applyAlignment="1" applyProtection="1">
      <alignment horizontal="left"/>
    </xf>
    <xf numFmtId="0" fontId="6" fillId="0" borderId="2" xfId="0" applyFont="1" applyFill="1" applyBorder="1" applyAlignment="1" applyProtection="1">
      <alignment horizontal="right"/>
    </xf>
    <xf numFmtId="0" fontId="5" fillId="0" borderId="2" xfId="0" applyFont="1" applyBorder="1" applyAlignment="1" applyProtection="1">
      <alignment horizontal="left"/>
    </xf>
    <xf numFmtId="0" fontId="6" fillId="0" borderId="2" xfId="0" applyFont="1" applyFill="1" applyBorder="1" applyAlignment="1" applyProtection="1">
      <alignment horizontal="center"/>
    </xf>
    <xf numFmtId="0" fontId="0" fillId="0" borderId="2" xfId="0" applyBorder="1" applyAlignment="1">
      <alignment horizontal="center"/>
    </xf>
    <xf numFmtId="0" fontId="5" fillId="0" borderId="3" xfId="0" applyFont="1" applyBorder="1" applyProtection="1"/>
    <xf numFmtId="10" fontId="6" fillId="0" borderId="0" xfId="0" applyNumberFormat="1" applyFont="1" applyFill="1" applyProtection="1"/>
    <xf numFmtId="0" fontId="6" fillId="0" borderId="0" xfId="0" applyFont="1" applyFill="1" applyBorder="1"/>
    <xf numFmtId="0" fontId="6" fillId="0" borderId="0" xfId="0" applyFont="1" applyFill="1" applyBorder="1" applyAlignment="1" applyProtection="1">
      <alignment horizontal="center"/>
    </xf>
    <xf numFmtId="0" fontId="6" fillId="0" borderId="0" xfId="0" applyFont="1" applyFill="1" applyBorder="1" applyAlignment="1">
      <alignment horizontal="center"/>
    </xf>
    <xf numFmtId="0" fontId="6" fillId="0" borderId="0" xfId="0" applyFont="1" applyFill="1" applyBorder="1" applyAlignment="1" applyProtection="1">
      <alignment horizontal="left"/>
    </xf>
    <xf numFmtId="0" fontId="6" fillId="0" borderId="0" xfId="0" applyFont="1" applyFill="1" applyBorder="1" applyAlignment="1" applyProtection="1">
      <alignment horizontal="right"/>
    </xf>
    <xf numFmtId="10" fontId="5" fillId="0" borderId="0" xfId="0" applyNumberFormat="1" applyFont="1" applyProtection="1"/>
    <xf numFmtId="8" fontId="5" fillId="0" borderId="0" xfId="0" applyNumberFormat="1" applyFont="1" applyProtection="1"/>
    <xf numFmtId="167" fontId="0" fillId="0" borderId="0" xfId="0" applyNumberFormat="1"/>
    <xf numFmtId="0" fontId="0" fillId="0" borderId="0" xfId="0" applyFill="1" applyBorder="1"/>
    <xf numFmtId="8" fontId="0" fillId="0" borderId="0" xfId="0" applyNumberFormat="1" applyFill="1" applyBorder="1"/>
    <xf numFmtId="0" fontId="0" fillId="2" borderId="0" xfId="0" applyFill="1" applyBorder="1" applyAlignment="1">
      <alignment horizontal="center"/>
    </xf>
    <xf numFmtId="0" fontId="0" fillId="2" borderId="0" xfId="0" applyFill="1" applyAlignment="1">
      <alignment horizontal="center"/>
    </xf>
    <xf numFmtId="0" fontId="10" fillId="2" borderId="0" xfId="0" applyFont="1" applyFill="1" applyBorder="1" applyAlignment="1">
      <alignment horizontal="center"/>
    </xf>
    <xf numFmtId="0" fontId="7" fillId="2" borderId="0" xfId="0" applyFont="1" applyFill="1" applyBorder="1" applyAlignment="1">
      <alignment horizontal="center"/>
    </xf>
    <xf numFmtId="0" fontId="11" fillId="2" borderId="0" xfId="0" applyFont="1" applyFill="1" applyBorder="1" applyAlignment="1">
      <alignment horizontal="center"/>
    </xf>
    <xf numFmtId="0" fontId="8" fillId="2" borderId="0" xfId="0" applyFont="1" applyFill="1" applyBorder="1" applyAlignment="1">
      <alignment horizontal="center"/>
    </xf>
    <xf numFmtId="14" fontId="4" fillId="2" borderId="0" xfId="0" applyNumberFormat="1" applyFont="1" applyFill="1" applyBorder="1" applyAlignment="1">
      <alignment horizontal="center"/>
    </xf>
    <xf numFmtId="2" fontId="0" fillId="0" borderId="0" xfId="0" applyNumberFormat="1" applyFill="1" applyBorder="1"/>
    <xf numFmtId="10" fontId="0" fillId="0" borderId="0" xfId="0" applyNumberFormat="1" applyFill="1"/>
    <xf numFmtId="0" fontId="1" fillId="0" borderId="3" xfId="0" applyFont="1" applyBorder="1" applyAlignment="1" applyProtection="1">
      <alignment horizontal="left"/>
    </xf>
    <xf numFmtId="2" fontId="5" fillId="0" borderId="0" xfId="0" applyNumberFormat="1" applyFont="1" applyProtection="1"/>
    <xf numFmtId="2" fontId="5" fillId="0" borderId="4" xfId="0" applyNumberFormat="1" applyFont="1" applyBorder="1" applyProtection="1"/>
    <xf numFmtId="2" fontId="6" fillId="0" borderId="1" xfId="0" applyNumberFormat="1" applyFont="1" applyFill="1" applyBorder="1" applyProtection="1"/>
    <xf numFmtId="168" fontId="5" fillId="0" borderId="0" xfId="0" applyNumberFormat="1" applyFont="1" applyProtection="1"/>
    <xf numFmtId="168" fontId="5" fillId="0" borderId="4" xfId="0" applyNumberFormat="1" applyFont="1" applyBorder="1" applyProtection="1"/>
    <xf numFmtId="0" fontId="5" fillId="0" borderId="2" xfId="0" applyFont="1" applyBorder="1" applyAlignment="1">
      <alignment horizontal="center"/>
    </xf>
    <xf numFmtId="9" fontId="6" fillId="0" borderId="0" xfId="0" applyNumberFormat="1" applyFont="1" applyFill="1" applyProtection="1"/>
    <xf numFmtId="9" fontId="6" fillId="0" borderId="4" xfId="0" applyNumberFormat="1" applyFont="1" applyFill="1" applyBorder="1" applyProtection="1"/>
    <xf numFmtId="9" fontId="0" fillId="0" borderId="0" xfId="0" applyNumberFormat="1"/>
    <xf numFmtId="0" fontId="0" fillId="0" borderId="0" xfId="0" applyBorder="1" applyAlignment="1">
      <alignment horizontal="center"/>
    </xf>
    <xf numFmtId="9" fontId="6" fillId="0" borderId="0" xfId="0" applyNumberFormat="1" applyFont="1" applyFill="1" applyBorder="1" applyProtection="1"/>
    <xf numFmtId="2" fontId="5" fillId="0" borderId="0" xfId="0" applyNumberFormat="1" applyFont="1" applyBorder="1" applyProtection="1"/>
    <xf numFmtId="168" fontId="5" fillId="0" borderId="0" xfId="0" applyNumberFormat="1" applyFont="1" applyBorder="1" applyProtection="1"/>
    <xf numFmtId="0" fontId="3" fillId="0" borderId="3" xfId="0" applyFont="1" applyBorder="1" applyProtection="1"/>
    <xf numFmtId="0" fontId="0" fillId="0" borderId="0" xfId="0" quotePrefix="1" applyAlignment="1">
      <alignment horizontal="left"/>
    </xf>
    <xf numFmtId="1" fontId="0" fillId="0" borderId="0" xfId="0" applyNumberFormat="1" applyFill="1" applyBorder="1"/>
    <xf numFmtId="0" fontId="1" fillId="0" borderId="0" xfId="0" applyFont="1" applyAlignment="1">
      <alignment horizontal="center"/>
    </xf>
    <xf numFmtId="2" fontId="6" fillId="4" borderId="0" xfId="0" applyNumberFormat="1" applyFont="1" applyFill="1" applyProtection="1">
      <protection locked="0"/>
    </xf>
    <xf numFmtId="2" fontId="6" fillId="4" borderId="0" xfId="0" applyNumberFormat="1" applyFont="1" applyFill="1" applyBorder="1" applyProtection="1">
      <protection locked="0"/>
    </xf>
    <xf numFmtId="2" fontId="6" fillId="4" borderId="4" xfId="0" applyNumberFormat="1" applyFont="1" applyFill="1" applyBorder="1" applyProtection="1">
      <protection locked="0"/>
    </xf>
    <xf numFmtId="0" fontId="12" fillId="0" borderId="0" xfId="0" applyFont="1"/>
    <xf numFmtId="0" fontId="5" fillId="0" borderId="0" xfId="0" applyFont="1" applyAlignment="1" applyProtection="1">
      <alignment horizontal="left"/>
      <protection locked="0"/>
    </xf>
    <xf numFmtId="0" fontId="5" fillId="0" borderId="0" xfId="0" applyFont="1" applyBorder="1" applyAlignment="1" applyProtection="1">
      <alignment horizontal="left"/>
      <protection locked="0"/>
    </xf>
    <xf numFmtId="0" fontId="5" fillId="0" borderId="4" xfId="0" applyFont="1" applyBorder="1" applyAlignment="1" applyProtection="1">
      <alignment horizontal="left"/>
      <protection locked="0"/>
    </xf>
    <xf numFmtId="169" fontId="0" fillId="0" borderId="0" xfId="0" applyNumberFormat="1"/>
    <xf numFmtId="0" fontId="14" fillId="0" borderId="0" xfId="0" applyFont="1"/>
    <xf numFmtId="8" fontId="0" fillId="0" borderId="0" xfId="0" applyNumberFormat="1" applyFill="1" applyProtection="1"/>
    <xf numFmtId="0" fontId="14" fillId="0" borderId="5" xfId="0" applyFont="1" applyBorder="1"/>
    <xf numFmtId="0" fontId="4" fillId="0" borderId="3" xfId="0" applyFont="1" applyBorder="1" applyProtection="1"/>
    <xf numFmtId="0" fontId="4" fillId="0" borderId="2" xfId="0" applyFont="1" applyBorder="1" applyAlignment="1" applyProtection="1">
      <alignment horizontal="left"/>
    </xf>
    <xf numFmtId="0" fontId="4" fillId="0" borderId="2" xfId="0" applyFont="1" applyBorder="1" applyAlignment="1">
      <alignment horizontal="center"/>
    </xf>
    <xf numFmtId="0" fontId="4" fillId="0" borderId="0" xfId="0" applyFont="1" applyAlignment="1" applyProtection="1">
      <alignment horizontal="left"/>
      <protection locked="0"/>
    </xf>
    <xf numFmtId="2" fontId="4" fillId="0" borderId="0" xfId="0" applyNumberFormat="1" applyFont="1" applyProtection="1"/>
    <xf numFmtId="168" fontId="4" fillId="0" borderId="0" xfId="0" applyNumberFormat="1" applyFont="1" applyProtection="1"/>
    <xf numFmtId="2" fontId="4" fillId="0" borderId="0" xfId="0" applyNumberFormat="1" applyFont="1" applyBorder="1" applyProtection="1"/>
    <xf numFmtId="168" fontId="4" fillId="0" borderId="0" xfId="0" applyNumberFormat="1" applyFont="1" applyBorder="1" applyProtection="1"/>
    <xf numFmtId="0" fontId="4" fillId="0" borderId="0" xfId="0" applyFont="1" applyBorder="1" applyAlignment="1" applyProtection="1">
      <alignment horizontal="left"/>
      <protection locked="0"/>
    </xf>
    <xf numFmtId="0" fontId="4" fillId="0" borderId="4" xfId="0" applyFont="1" applyBorder="1" applyAlignment="1" applyProtection="1">
      <alignment horizontal="left"/>
      <protection locked="0"/>
    </xf>
    <xf numFmtId="2" fontId="4" fillId="0" borderId="4" xfId="0" applyNumberFormat="1" applyFont="1" applyBorder="1" applyProtection="1"/>
    <xf numFmtId="168" fontId="4" fillId="0" borderId="4" xfId="0" applyNumberFormat="1" applyFont="1" applyBorder="1" applyProtection="1"/>
    <xf numFmtId="0" fontId="4" fillId="0" borderId="0" xfId="0" applyFont="1" applyAlignment="1" applyProtection="1">
      <alignment horizontal="left"/>
    </xf>
    <xf numFmtId="164" fontId="4" fillId="0" borderId="0" xfId="0" applyNumberFormat="1" applyFont="1" applyProtection="1"/>
    <xf numFmtId="0" fontId="4" fillId="0" borderId="0" xfId="0" applyFont="1" applyProtection="1"/>
    <xf numFmtId="165" fontId="4" fillId="0" borderId="0" xfId="0" applyNumberFormat="1" applyFont="1" applyProtection="1"/>
    <xf numFmtId="10" fontId="4" fillId="0" borderId="0" xfId="0" applyNumberFormat="1" applyFont="1" applyProtection="1"/>
    <xf numFmtId="8" fontId="4" fillId="0" borderId="0" xfId="0" applyNumberFormat="1" applyFont="1" applyProtection="1"/>
    <xf numFmtId="0" fontId="15" fillId="0" borderId="0" xfId="0" applyFont="1" applyFill="1" applyBorder="1"/>
    <xf numFmtId="0" fontId="0" fillId="0" borderId="0" xfId="0" applyFont="1" applyFill="1" applyBorder="1"/>
    <xf numFmtId="1" fontId="0" fillId="0" borderId="0" xfId="0" applyNumberFormat="1"/>
    <xf numFmtId="0" fontId="4" fillId="0" borderId="0" xfId="0" applyFont="1" applyBorder="1"/>
    <xf numFmtId="0" fontId="4" fillId="0" borderId="0" xfId="0" applyFont="1" applyFill="1" applyBorder="1"/>
    <xf numFmtId="1" fontId="0" fillId="0" borderId="0" xfId="0" applyNumberFormat="1" applyBorder="1"/>
    <xf numFmtId="0" fontId="0" fillId="0" borderId="0" xfId="0" applyFill="1" applyAlignment="1">
      <alignment horizontal="center"/>
    </xf>
    <xf numFmtId="0" fontId="1" fillId="0" borderId="0" xfId="0" applyFont="1" applyFill="1" applyAlignment="1">
      <alignment horizontal="center"/>
    </xf>
    <xf numFmtId="8" fontId="0" fillId="0" borderId="0" xfId="0" applyNumberFormat="1" applyFill="1" applyBorder="1" applyProtection="1">
      <protection locked="0"/>
    </xf>
    <xf numFmtId="0" fontId="0" fillId="0" borderId="0" xfId="0" applyFill="1" applyProtection="1">
      <protection locked="0"/>
    </xf>
    <xf numFmtId="1" fontId="0" fillId="0" borderId="0" xfId="0" applyNumberFormat="1" applyFill="1"/>
    <xf numFmtId="167" fontId="0" fillId="0" borderId="0" xfId="0" applyNumberFormat="1" applyFill="1"/>
    <xf numFmtId="0" fontId="0" fillId="5" borderId="0" xfId="0" applyFill="1" applyBorder="1"/>
    <xf numFmtId="0" fontId="0" fillId="5" borderId="0" xfId="0" applyFill="1"/>
    <xf numFmtId="10" fontId="0" fillId="0" borderId="0" xfId="2" applyNumberFormat="1" applyFont="1"/>
    <xf numFmtId="8" fontId="0" fillId="5" borderId="0" xfId="0" applyNumberFormat="1" applyFill="1"/>
    <xf numFmtId="9" fontId="0" fillId="0" borderId="0" xfId="0" applyNumberFormat="1" applyFill="1"/>
    <xf numFmtId="170" fontId="0" fillId="0" borderId="0" xfId="0" applyNumberFormat="1"/>
    <xf numFmtId="8" fontId="14" fillId="0" borderId="0" xfId="0" applyNumberFormat="1" applyFont="1" applyFill="1"/>
    <xf numFmtId="8" fontId="14" fillId="0" borderId="0" xfId="0" applyNumberFormat="1" applyFont="1"/>
    <xf numFmtId="0" fontId="0" fillId="0" borderId="5" xfId="0" applyBorder="1"/>
    <xf numFmtId="0" fontId="0" fillId="0" borderId="5" xfId="0" applyFill="1" applyBorder="1"/>
    <xf numFmtId="0" fontId="0" fillId="5" borderId="5" xfId="0" applyFill="1" applyBorder="1"/>
    <xf numFmtId="0" fontId="17" fillId="0" borderId="5" xfId="0" applyFont="1" applyBorder="1"/>
    <xf numFmtId="0" fontId="14" fillId="0" borderId="5" xfId="0" applyFont="1" applyFill="1" applyBorder="1"/>
    <xf numFmtId="8" fontId="14" fillId="0" borderId="5" xfId="0" applyNumberFormat="1" applyFont="1" applyBorder="1"/>
    <xf numFmtId="8" fontId="0" fillId="0" borderId="5" xfId="0" applyNumberFormat="1" applyBorder="1"/>
    <xf numFmtId="0" fontId="14" fillId="0" borderId="0" xfId="0" applyFont="1" applyAlignment="1">
      <alignment horizontal="left" indent="2"/>
    </xf>
    <xf numFmtId="0" fontId="19" fillId="0" borderId="5" xfId="0" quotePrefix="1" applyFont="1" applyBorder="1" applyAlignment="1">
      <alignment horizontal="left"/>
    </xf>
    <xf numFmtId="8" fontId="0" fillId="0" borderId="5" xfId="0" applyNumberFormat="1" applyFill="1" applyBorder="1"/>
    <xf numFmtId="170" fontId="0" fillId="0" borderId="0" xfId="1" applyNumberFormat="1" applyFont="1"/>
    <xf numFmtId="0" fontId="14" fillId="5" borderId="0" xfId="0" applyFont="1" applyFill="1"/>
    <xf numFmtId="0" fontId="14" fillId="0" borderId="0" xfId="0" applyFont="1" applyFill="1"/>
    <xf numFmtId="2" fontId="0" fillId="5" borderId="0" xfId="0" applyNumberFormat="1" applyFill="1" applyBorder="1" applyProtection="1">
      <protection locked="0"/>
    </xf>
    <xf numFmtId="0" fontId="0" fillId="5" borderId="0" xfId="0" applyFill="1" applyProtection="1">
      <protection locked="0"/>
    </xf>
    <xf numFmtId="2" fontId="0" fillId="5" borderId="0" xfId="0" applyNumberFormat="1" applyFill="1" applyBorder="1"/>
    <xf numFmtId="0" fontId="4" fillId="0" borderId="0" xfId="0" applyFont="1" applyFill="1"/>
    <xf numFmtId="0" fontId="14" fillId="0" borderId="5" xfId="0" quotePrefix="1" applyFont="1" applyFill="1" applyBorder="1" applyAlignment="1">
      <alignment horizontal="left"/>
    </xf>
    <xf numFmtId="0" fontId="1" fillId="0" borderId="0" xfId="0" applyFont="1" applyFill="1"/>
    <xf numFmtId="0" fontId="4" fillId="5" borderId="0" xfId="0" applyFont="1" applyFill="1" applyBorder="1"/>
    <xf numFmtId="2" fontId="4" fillId="0" borderId="0" xfId="0" applyNumberFormat="1" applyFont="1" applyBorder="1"/>
    <xf numFmtId="2" fontId="0" fillId="5" borderId="0" xfId="0" applyNumberFormat="1" applyFill="1"/>
    <xf numFmtId="0" fontId="22" fillId="4" borderId="0" xfId="0" applyFont="1" applyFill="1" applyBorder="1" applyProtection="1">
      <protection locked="0"/>
    </xf>
    <xf numFmtId="0" fontId="22" fillId="6" borderId="0" xfId="0" applyFont="1" applyFill="1" applyBorder="1" applyProtection="1">
      <protection locked="0"/>
    </xf>
    <xf numFmtId="1" fontId="22" fillId="4" borderId="0" xfId="0" applyNumberFormat="1" applyFont="1" applyFill="1" applyBorder="1" applyProtection="1">
      <protection locked="0"/>
    </xf>
    <xf numFmtId="1" fontId="22" fillId="6" borderId="0" xfId="0" applyNumberFormat="1" applyFont="1" applyFill="1" applyBorder="1" applyProtection="1">
      <protection locked="0"/>
    </xf>
    <xf numFmtId="2" fontId="22" fillId="4" borderId="0" xfId="0" applyNumberFormat="1" applyFont="1" applyFill="1" applyBorder="1" applyProtection="1">
      <protection locked="0"/>
    </xf>
    <xf numFmtId="0" fontId="22" fillId="4" borderId="0" xfId="0" applyFont="1" applyFill="1" applyProtection="1">
      <protection locked="0"/>
    </xf>
    <xf numFmtId="10" fontId="22" fillId="4" borderId="0" xfId="0" applyNumberFormat="1" applyFont="1" applyFill="1" applyProtection="1">
      <protection locked="0"/>
    </xf>
    <xf numFmtId="8" fontId="22" fillId="4" borderId="0" xfId="0" applyNumberFormat="1" applyFont="1" applyFill="1" applyBorder="1" applyProtection="1">
      <protection locked="0"/>
    </xf>
    <xf numFmtId="8" fontId="22" fillId="6" borderId="0" xfId="0" applyNumberFormat="1" applyFont="1" applyFill="1" applyBorder="1" applyProtection="1">
      <protection locked="0"/>
    </xf>
    <xf numFmtId="8" fontId="22" fillId="4" borderId="0" xfId="0" applyNumberFormat="1" applyFont="1" applyFill="1" applyProtection="1">
      <protection locked="0"/>
    </xf>
    <xf numFmtId="8" fontId="22" fillId="6" borderId="0" xfId="0" applyNumberFormat="1" applyFont="1" applyFill="1" applyProtection="1">
      <protection locked="0"/>
    </xf>
    <xf numFmtId="10" fontId="22" fillId="6" borderId="0" xfId="0" applyNumberFormat="1" applyFont="1" applyFill="1" applyProtection="1">
      <protection locked="0"/>
    </xf>
    <xf numFmtId="2" fontId="22" fillId="4" borderId="0" xfId="0" applyNumberFormat="1" applyFont="1" applyFill="1" applyProtection="1">
      <protection locked="0"/>
    </xf>
    <xf numFmtId="8" fontId="1" fillId="0" borderId="5" xfId="0" applyNumberFormat="1" applyFont="1" applyBorder="1"/>
    <xf numFmtId="8" fontId="1" fillId="0" borderId="0" xfId="0" applyNumberFormat="1" applyFont="1" applyFill="1"/>
    <xf numFmtId="2" fontId="0" fillId="0" borderId="0" xfId="0" applyNumberFormat="1" applyProtection="1"/>
    <xf numFmtId="2" fontId="0" fillId="0" borderId="0" xfId="0" applyNumberFormat="1" applyBorder="1" applyProtection="1"/>
    <xf numFmtId="0" fontId="0" fillId="0" borderId="0" xfId="0" applyFill="1" applyProtection="1"/>
    <xf numFmtId="9" fontId="22" fillId="6" borderId="0" xfId="0" applyNumberFormat="1" applyFont="1" applyFill="1" applyProtection="1">
      <protection locked="0"/>
    </xf>
    <xf numFmtId="9" fontId="0" fillId="0" borderId="0" xfId="0" applyNumberFormat="1" applyProtection="1">
      <protection locked="0"/>
    </xf>
    <xf numFmtId="0" fontId="0" fillId="0" borderId="0" xfId="0" applyProtection="1">
      <protection locked="0"/>
    </xf>
    <xf numFmtId="9" fontId="0" fillId="0" borderId="5" xfId="0" applyNumberFormat="1" applyBorder="1" applyProtection="1">
      <protection locked="0"/>
    </xf>
    <xf numFmtId="9" fontId="0" fillId="0" borderId="0" xfId="0" applyNumberFormat="1" applyFill="1" applyProtection="1">
      <protection locked="0"/>
    </xf>
    <xf numFmtId="2" fontId="0" fillId="0" borderId="0" xfId="2" applyNumberFormat="1" applyFont="1" applyProtection="1">
      <protection locked="0"/>
    </xf>
    <xf numFmtId="8" fontId="0" fillId="0" borderId="0" xfId="0" applyNumberFormat="1" applyFill="1" applyBorder="1" applyProtection="1"/>
    <xf numFmtId="0" fontId="0" fillId="0" borderId="0" xfId="0" applyProtection="1"/>
    <xf numFmtId="10" fontId="0" fillId="0" borderId="0" xfId="2" applyNumberFormat="1" applyFont="1" applyProtection="1"/>
    <xf numFmtId="0" fontId="0" fillId="0" borderId="0" xfId="0" applyBorder="1" applyProtection="1">
      <protection locked="0"/>
    </xf>
    <xf numFmtId="0" fontId="0" fillId="0" borderId="0" xfId="0" applyFill="1" applyBorder="1" applyProtection="1">
      <protection locked="0"/>
    </xf>
    <xf numFmtId="170" fontId="22" fillId="4" borderId="0" xfId="1" applyNumberFormat="1" applyFont="1" applyFill="1" applyProtection="1">
      <protection locked="0"/>
    </xf>
    <xf numFmtId="2" fontId="13" fillId="0" borderId="0" xfId="0" applyNumberFormat="1" applyFont="1" applyFill="1" applyAlignment="1">
      <alignment horizontal="center" wrapText="1"/>
    </xf>
    <xf numFmtId="9" fontId="22" fillId="4" borderId="0" xfId="0" applyNumberFormat="1" applyFont="1" applyFill="1" applyProtection="1">
      <protection locked="0"/>
    </xf>
    <xf numFmtId="9" fontId="22" fillId="4" borderId="0" xfId="0" applyNumberFormat="1" applyFont="1" applyFill="1" applyBorder="1" applyProtection="1">
      <protection locked="0"/>
    </xf>
    <xf numFmtId="10" fontId="22" fillId="4" borderId="0" xfId="0" applyNumberFormat="1" applyFont="1" applyFill="1" applyBorder="1" applyProtection="1">
      <protection locked="0"/>
    </xf>
    <xf numFmtId="9" fontId="22" fillId="4" borderId="4" xfId="0" applyNumberFormat="1" applyFont="1" applyFill="1" applyBorder="1" applyProtection="1">
      <protection locked="0"/>
    </xf>
    <xf numFmtId="10" fontId="22" fillId="4" borderId="4" xfId="0" applyNumberFormat="1" applyFont="1" applyFill="1" applyBorder="1" applyProtection="1">
      <protection locked="0"/>
    </xf>
    <xf numFmtId="0" fontId="22" fillId="4" borderId="4" xfId="0" applyFont="1" applyFill="1" applyBorder="1" applyProtection="1">
      <protection locked="0"/>
    </xf>
    <xf numFmtId="8" fontId="22" fillId="4" borderId="4" xfId="0" applyNumberFormat="1" applyFont="1" applyFill="1" applyBorder="1" applyProtection="1">
      <protection locked="0"/>
    </xf>
    <xf numFmtId="9" fontId="0" fillId="0" borderId="0" xfId="0" applyNumberFormat="1" applyProtection="1"/>
    <xf numFmtId="2" fontId="22" fillId="4" borderId="4" xfId="0" applyNumberFormat="1" applyFont="1" applyFill="1" applyBorder="1" applyProtection="1">
      <protection locked="0"/>
    </xf>
    <xf numFmtId="8" fontId="22" fillId="4" borderId="2" xfId="0" applyNumberFormat="1" applyFont="1" applyFill="1" applyBorder="1" applyProtection="1">
      <protection locked="0"/>
    </xf>
    <xf numFmtId="0" fontId="22" fillId="6" borderId="0" xfId="0" applyFont="1" applyFill="1" applyProtection="1">
      <protection locked="0"/>
    </xf>
    <xf numFmtId="0" fontId="4" fillId="0" borderId="0" xfId="0" applyFont="1" applyProtection="1">
      <protection locked="0"/>
    </xf>
    <xf numFmtId="170" fontId="22" fillId="6" borderId="0" xfId="0" applyNumberFormat="1" applyFont="1" applyFill="1" applyProtection="1">
      <protection locked="0"/>
    </xf>
    <xf numFmtId="6" fontId="22" fillId="6" borderId="0" xfId="0" applyNumberFormat="1" applyFont="1" applyFill="1" applyProtection="1">
      <protection locked="0"/>
    </xf>
    <xf numFmtId="0" fontId="22" fillId="6" borderId="0" xfId="0" applyNumberFormat="1" applyFont="1" applyFill="1" applyProtection="1">
      <protection locked="0"/>
    </xf>
    <xf numFmtId="9" fontId="22" fillId="0" borderId="0" xfId="0" applyNumberFormat="1" applyFont="1" applyFill="1" applyProtection="1">
      <protection locked="0"/>
    </xf>
    <xf numFmtId="8" fontId="0" fillId="0" borderId="0" xfId="0" applyNumberFormat="1" applyAlignment="1">
      <alignment horizontal="right"/>
    </xf>
    <xf numFmtId="170" fontId="0" fillId="0" borderId="0" xfId="1" applyNumberFormat="1" applyFont="1" applyAlignment="1">
      <alignment horizontal="right"/>
    </xf>
    <xf numFmtId="8" fontId="0" fillId="8" borderId="0" xfId="0" applyNumberFormat="1" applyFill="1"/>
    <xf numFmtId="8" fontId="0" fillId="9" borderId="0" xfId="0" applyNumberFormat="1" applyFill="1"/>
    <xf numFmtId="0" fontId="0" fillId="9" borderId="0" xfId="0" applyFill="1"/>
    <xf numFmtId="8" fontId="25" fillId="8" borderId="0" xfId="2" applyNumberFormat="1" applyFont="1" applyFill="1"/>
    <xf numFmtId="0" fontId="25" fillId="0" borderId="0" xfId="0" applyFont="1"/>
    <xf numFmtId="0" fontId="25" fillId="0" borderId="0" xfId="0" applyFont="1" applyFill="1"/>
    <xf numFmtId="8" fontId="25" fillId="9" borderId="0" xfId="2" applyNumberFormat="1" applyFont="1" applyFill="1"/>
    <xf numFmtId="0" fontId="21" fillId="0" borderId="0" xfId="0" applyFont="1" applyProtection="1">
      <protection locked="0"/>
    </xf>
    <xf numFmtId="170" fontId="0" fillId="0" borderId="0" xfId="0" applyNumberFormat="1" applyProtection="1">
      <protection locked="0"/>
    </xf>
    <xf numFmtId="0" fontId="4" fillId="0" borderId="0" xfId="0" applyFont="1" applyFill="1" applyProtection="1">
      <protection locked="0"/>
    </xf>
    <xf numFmtId="170" fontId="0" fillId="0" borderId="0" xfId="0" applyNumberFormat="1" applyFill="1" applyProtection="1">
      <protection locked="0"/>
    </xf>
    <xf numFmtId="43" fontId="0" fillId="0" borderId="0" xfId="4" applyFont="1" applyFill="1" applyProtection="1">
      <protection locked="0"/>
    </xf>
    <xf numFmtId="0" fontId="23" fillId="0" borderId="0" xfId="0" applyFont="1" applyProtection="1"/>
    <xf numFmtId="170" fontId="0" fillId="0" borderId="0" xfId="0" applyNumberFormat="1" applyProtection="1"/>
    <xf numFmtId="170" fontId="23" fillId="0" borderId="0" xfId="0" applyNumberFormat="1" applyFont="1" applyProtection="1"/>
    <xf numFmtId="170" fontId="0" fillId="0" borderId="0" xfId="0" applyNumberFormat="1" applyFill="1" applyProtection="1"/>
    <xf numFmtId="170" fontId="23" fillId="0" borderId="0" xfId="0" applyNumberFormat="1" applyFont="1" applyFill="1" applyProtection="1"/>
    <xf numFmtId="0" fontId="17" fillId="0" borderId="0" xfId="0" applyFont="1" applyProtection="1"/>
    <xf numFmtId="0" fontId="4" fillId="0" borderId="0" xfId="0" applyFont="1" applyFill="1" applyProtection="1"/>
    <xf numFmtId="0" fontId="14" fillId="0" borderId="0" xfId="0" applyFont="1" applyProtection="1"/>
    <xf numFmtId="0" fontId="15" fillId="0" borderId="0" xfId="0" applyFont="1" applyProtection="1"/>
    <xf numFmtId="6" fontId="14" fillId="0" borderId="0" xfId="0" applyNumberFormat="1" applyFont="1" applyProtection="1"/>
    <xf numFmtId="0" fontId="4" fillId="0" borderId="0" xfId="0" quotePrefix="1" applyFont="1" applyProtection="1"/>
    <xf numFmtId="0" fontId="18" fillId="0" borderId="0" xfId="3" applyProtection="1">
      <protection locked="0"/>
    </xf>
    <xf numFmtId="0" fontId="14" fillId="10" borderId="0" xfId="0" applyFont="1" applyFill="1"/>
    <xf numFmtId="8" fontId="14" fillId="10" borderId="0" xfId="0" applyNumberFormat="1" applyFont="1" applyFill="1"/>
    <xf numFmtId="0" fontId="14" fillId="0" borderId="6" xfId="0" applyFont="1" applyFill="1" applyBorder="1"/>
    <xf numFmtId="0" fontId="14" fillId="0" borderId="6" xfId="0" applyFont="1" applyBorder="1"/>
    <xf numFmtId="8" fontId="14" fillId="0" borderId="6" xfId="0" applyNumberFormat="1" applyFont="1" applyBorder="1"/>
    <xf numFmtId="0" fontId="0" fillId="0" borderId="6" xfId="0" applyBorder="1"/>
    <xf numFmtId="0" fontId="0" fillId="5" borderId="6" xfId="0" applyFill="1" applyBorder="1"/>
    <xf numFmtId="0" fontId="0" fillId="0" borderId="6" xfId="0" applyFill="1" applyBorder="1"/>
    <xf numFmtId="8" fontId="14" fillId="8" borderId="6" xfId="0" applyNumberFormat="1" applyFont="1" applyFill="1" applyBorder="1"/>
    <xf numFmtId="8" fontId="25" fillId="8" borderId="6" xfId="2" applyNumberFormat="1" applyFont="1" applyFill="1" applyBorder="1"/>
    <xf numFmtId="8" fontId="22" fillId="4" borderId="5" xfId="0" applyNumberFormat="1" applyFont="1" applyFill="1" applyBorder="1" applyProtection="1">
      <protection locked="0"/>
    </xf>
    <xf numFmtId="0" fontId="25" fillId="0" borderId="5" xfId="0" applyFont="1" applyBorder="1"/>
    <xf numFmtId="0" fontId="0" fillId="8" borderId="5" xfId="0" applyFill="1" applyBorder="1"/>
    <xf numFmtId="0" fontId="14" fillId="10" borderId="6" xfId="0" applyFont="1" applyFill="1" applyBorder="1"/>
    <xf numFmtId="0" fontId="1" fillId="10" borderId="6" xfId="0" applyFont="1" applyFill="1" applyBorder="1"/>
    <xf numFmtId="0" fontId="0" fillId="10" borderId="6" xfId="0" applyFill="1" applyBorder="1"/>
    <xf numFmtId="0" fontId="25" fillId="0" borderId="6" xfId="0" applyFont="1" applyFill="1" applyBorder="1"/>
    <xf numFmtId="8" fontId="25" fillId="10" borderId="0" xfId="2" applyNumberFormat="1" applyFont="1" applyFill="1"/>
    <xf numFmtId="170" fontId="0" fillId="0" borderId="0" xfId="0" applyNumberFormat="1" applyBorder="1"/>
    <xf numFmtId="10" fontId="0" fillId="0" borderId="0" xfId="2" applyNumberFormat="1" applyFont="1" applyBorder="1"/>
    <xf numFmtId="10" fontId="25" fillId="8" borderId="5" xfId="2" applyNumberFormat="1" applyFont="1" applyFill="1" applyBorder="1"/>
    <xf numFmtId="10" fontId="25" fillId="10" borderId="0" xfId="2" applyNumberFormat="1" applyFont="1" applyFill="1"/>
    <xf numFmtId="10" fontId="25" fillId="8" borderId="0" xfId="2" applyNumberFormat="1" applyFont="1" applyFill="1"/>
    <xf numFmtId="10" fontId="25" fillId="9" borderId="0" xfId="2" applyNumberFormat="1" applyFont="1" applyFill="1"/>
    <xf numFmtId="0" fontId="14" fillId="0" borderId="0" xfId="0" applyFont="1" applyAlignment="1">
      <alignment horizontal="center"/>
    </xf>
    <xf numFmtId="170" fontId="0" fillId="0" borderId="0" xfId="0" applyNumberFormat="1" applyFill="1"/>
    <xf numFmtId="170" fontId="0" fillId="0" borderId="0" xfId="0" applyNumberFormat="1" applyFill="1" applyBorder="1"/>
    <xf numFmtId="10" fontId="0" fillId="0" borderId="0" xfId="2" applyNumberFormat="1" applyFont="1" applyFill="1"/>
    <xf numFmtId="9" fontId="0" fillId="0" borderId="0" xfId="2" applyFont="1" applyFill="1"/>
    <xf numFmtId="171" fontId="0" fillId="0" borderId="0" xfId="0" applyNumberFormat="1" applyFill="1" applyBorder="1"/>
    <xf numFmtId="10" fontId="0" fillId="0" borderId="0" xfId="2" applyNumberFormat="1" applyFont="1" applyFill="1" applyBorder="1"/>
    <xf numFmtId="0" fontId="1" fillId="0" borderId="0" xfId="0" applyFont="1" applyFill="1" applyBorder="1"/>
    <xf numFmtId="170" fontId="1" fillId="0" borderId="0" xfId="0" applyNumberFormat="1" applyFont="1" applyFill="1" applyBorder="1"/>
    <xf numFmtId="0" fontId="14" fillId="0" borderId="0" xfId="0" applyFont="1" applyBorder="1"/>
    <xf numFmtId="0" fontId="1" fillId="0" borderId="5" xfId="0" applyFont="1" applyBorder="1" applyAlignment="1">
      <alignment horizontal="center"/>
    </xf>
    <xf numFmtId="0" fontId="1" fillId="0" borderId="5" xfId="0" applyFont="1" applyFill="1" applyBorder="1" applyAlignment="1">
      <alignment horizontal="center"/>
    </xf>
    <xf numFmtId="0" fontId="14" fillId="0" borderId="5" xfId="0" applyFont="1" applyBorder="1" applyAlignment="1">
      <alignment horizontal="center"/>
    </xf>
    <xf numFmtId="0" fontId="22" fillId="6" borderId="0" xfId="0" applyFont="1" applyFill="1" applyAlignment="1">
      <alignment horizontal="center" wrapText="1"/>
    </xf>
    <xf numFmtId="0" fontId="14" fillId="0" borderId="0" xfId="0" applyFont="1" applyFill="1" applyBorder="1" applyAlignment="1">
      <alignment horizontal="center"/>
    </xf>
    <xf numFmtId="0" fontId="22" fillId="6" borderId="0" xfId="0" applyFont="1" applyFill="1" applyAlignment="1">
      <alignment horizontal="center"/>
    </xf>
    <xf numFmtId="0" fontId="24" fillId="0" borderId="0" xfId="0" applyFont="1" applyFill="1" applyBorder="1" applyAlignment="1">
      <alignment horizontal="center"/>
    </xf>
    <xf numFmtId="0" fontId="14" fillId="0" borderId="0" xfId="0" applyFont="1" applyAlignment="1">
      <alignment horizontal="center"/>
    </xf>
    <xf numFmtId="0" fontId="14" fillId="0" borderId="0" xfId="0" applyFont="1" applyBorder="1" applyAlignment="1">
      <alignment horizontal="center"/>
    </xf>
    <xf numFmtId="0" fontId="13" fillId="7" borderId="0" xfId="0" applyFont="1" applyFill="1" applyAlignment="1">
      <alignment horizontal="center" wrapText="1"/>
    </xf>
    <xf numFmtId="0" fontId="4" fillId="7" borderId="0" xfId="0" applyFont="1" applyFill="1" applyAlignment="1">
      <alignment horizontal="center" wrapText="1"/>
    </xf>
  </cellXfs>
  <cellStyles count="5">
    <cellStyle name="Comma" xfId="4" builtinId="3"/>
    <cellStyle name="Currency" xfId="1" builtinId="4"/>
    <cellStyle name="Hyperlink" xfId="3" builtinId="8"/>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010000"/>
      <rgbColor rgb="003333CC"/>
      <rgbColor rgb="00336666"/>
      <rgbColor rgb="00003300"/>
      <rgbColor rgb="00333300"/>
      <rgbColor rgb="00663300"/>
      <rgbColor rgb="00993366"/>
      <rgbColor rgb="00333399"/>
      <rgbColor rgb="00424242"/>
    </indexedColors>
    <mruColors>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195263</xdr:colOff>
      <xdr:row>38</xdr:row>
      <xdr:rowOff>28575</xdr:rowOff>
    </xdr:from>
    <xdr:to>
      <xdr:col>9</xdr:col>
      <xdr:colOff>355283</xdr:colOff>
      <xdr:row>42</xdr:row>
      <xdr:rowOff>0</xdr:rowOff>
    </xdr:to>
    <xdr:sp macro="" textlink="">
      <xdr:nvSpPr>
        <xdr:cNvPr id="1025" name="Text 1">
          <a:extLst>
            <a:ext uri="{FF2B5EF4-FFF2-40B4-BE49-F238E27FC236}">
              <a16:creationId xmlns:a16="http://schemas.microsoft.com/office/drawing/2014/main" id="{00000000-0008-0000-0000-000001040000}"/>
            </a:ext>
          </a:extLst>
        </xdr:cNvPr>
        <xdr:cNvSpPr>
          <a:spLocks noChangeArrowheads="1"/>
        </xdr:cNvSpPr>
      </xdr:nvSpPr>
      <xdr:spPr bwMode="auto">
        <a:xfrm>
          <a:off x="180975" y="6181725"/>
          <a:ext cx="5381625" cy="619125"/>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en-US" sz="800" b="1" i="1" u="none" strike="noStrike" baseline="0">
              <a:solidFill>
                <a:srgbClr val="000000"/>
              </a:solidFill>
              <a:latin typeface="Arial"/>
              <a:cs typeface="Arial"/>
            </a:rPr>
            <a:t>Disclaimer</a:t>
          </a:r>
          <a:endParaRPr lang="en-US" sz="800" b="0" i="0" u="none" strike="noStrike" baseline="0">
            <a:solidFill>
              <a:srgbClr val="000000"/>
            </a:solidFill>
            <a:latin typeface="Arial"/>
            <a:cs typeface="Arial"/>
          </a:endParaRPr>
        </a:p>
        <a:p>
          <a:pPr algn="l" rtl="0">
            <a:defRPr sz="1000"/>
          </a:pPr>
          <a:r>
            <a:rPr lang="en-US" sz="800" b="0" i="0" u="none" strike="noStrike" baseline="0">
              <a:solidFill>
                <a:srgbClr val="000000"/>
              </a:solidFill>
              <a:latin typeface="Arial"/>
              <a:cs typeface="Arial"/>
            </a:rPr>
            <a:t>Michigan State University or Michigan State University Extension shall not be responsible for any damages caused by reliance on the materials or program results including but not limited to typographical, arithmetic or listing errors.</a:t>
          </a:r>
        </a:p>
      </xdr:txBody>
    </xdr:sp>
    <xdr:clientData/>
  </xdr:twoCellAnchor>
  <xdr:twoCellAnchor>
    <xdr:from>
      <xdr:col>0</xdr:col>
      <xdr:colOff>355283</xdr:colOff>
      <xdr:row>2</xdr:row>
      <xdr:rowOff>47624</xdr:rowOff>
    </xdr:from>
    <xdr:to>
      <xdr:col>9</xdr:col>
      <xdr:colOff>336233</xdr:colOff>
      <xdr:row>19</xdr:row>
      <xdr:rowOff>157162</xdr:rowOff>
    </xdr:to>
    <xdr:sp macro="" textlink="">
      <xdr:nvSpPr>
        <xdr:cNvPr id="1026" name="Text 2">
          <a:extLst>
            <a:ext uri="{FF2B5EF4-FFF2-40B4-BE49-F238E27FC236}">
              <a16:creationId xmlns:a16="http://schemas.microsoft.com/office/drawing/2014/main" id="{00000000-0008-0000-0000-000002040000}"/>
            </a:ext>
          </a:extLst>
        </xdr:cNvPr>
        <xdr:cNvSpPr>
          <a:spLocks noChangeArrowheads="1"/>
        </xdr:cNvSpPr>
      </xdr:nvSpPr>
      <xdr:spPr bwMode="auto">
        <a:xfrm>
          <a:off x="355283" y="371474"/>
          <a:ext cx="5595938" cy="2862263"/>
        </a:xfrm>
        <a:prstGeom prst="roundRect">
          <a:avLst>
            <a:gd name="adj" fmla="val 16667"/>
          </a:avLst>
        </a:prstGeom>
        <a:solidFill>
          <a:srgbClr val="E3E3E3"/>
        </a:solidFill>
        <a:ln w="17145">
          <a:solidFill>
            <a:srgbClr val="000000"/>
          </a:solidFill>
          <a:round/>
          <a:headEnd/>
          <a:tailEnd/>
        </a:ln>
        <a:effectLst>
          <a:outerShdw dist="35921" dir="2700000" algn="ctr" rotWithShape="0">
            <a:srgbClr val="000000"/>
          </a:outerShdw>
        </a:effectLst>
      </xdr:spPr>
      <xdr:txBody>
        <a:bodyPr vertOverflow="clip" wrap="square" lIns="45720" tIns="41148" rIns="45720" bIns="0" anchor="t" upright="1"/>
        <a:lstStyle/>
        <a:p>
          <a:pPr algn="ctr" rtl="0">
            <a:defRPr sz="1000"/>
          </a:pPr>
          <a:r>
            <a:rPr lang="en-US" sz="2200" b="1" i="0" u="none" strike="noStrike" baseline="0">
              <a:solidFill>
                <a:srgbClr val="000000"/>
              </a:solidFill>
              <a:latin typeface="Arial"/>
              <a:cs typeface="Arial"/>
            </a:rPr>
            <a:t>Michigan State University Extension</a:t>
          </a:r>
          <a:endParaRPr lang="en-US" sz="1000" b="0" i="0" u="none" strike="noStrike" baseline="0">
            <a:solidFill>
              <a:srgbClr val="000000"/>
            </a:solidFill>
            <a:latin typeface="Arial"/>
            <a:cs typeface="Arial"/>
          </a:endParaRPr>
        </a:p>
        <a:p>
          <a:pPr algn="ctr" rtl="0">
            <a:defRPr sz="1000"/>
          </a:pPr>
          <a:endParaRPr lang="en-US" sz="1000" b="0" i="0" u="none" strike="noStrike" baseline="0">
            <a:solidFill>
              <a:srgbClr val="000000"/>
            </a:solidFill>
            <a:latin typeface="Arial"/>
            <a:cs typeface="Arial"/>
          </a:endParaRPr>
        </a:p>
        <a:p>
          <a:pPr algn="ctr" rtl="0">
            <a:defRPr sz="1000"/>
          </a:pPr>
          <a:r>
            <a:rPr lang="en-US" sz="1600" b="0" i="0" u="none" strike="noStrike" baseline="0">
              <a:solidFill>
                <a:srgbClr val="000000"/>
              </a:solidFill>
              <a:latin typeface="Arial"/>
              <a:cs typeface="Arial"/>
            </a:rPr>
            <a:t>Feedlot Enterprise Budget</a:t>
          </a:r>
        </a:p>
        <a:p>
          <a:pPr algn="ctr" rtl="0">
            <a:defRPr sz="1000"/>
          </a:pPr>
          <a:endParaRPr lang="en-US" sz="1600" b="0" i="0" u="none" strike="noStrike" baseline="0">
            <a:solidFill>
              <a:srgbClr val="000000"/>
            </a:solidFill>
            <a:latin typeface="Arial"/>
            <a:cs typeface="Arial"/>
          </a:endParaRPr>
        </a:p>
        <a:p>
          <a:pPr algn="ctr" rtl="0">
            <a:defRPr sz="1000"/>
          </a:pPr>
          <a:r>
            <a:rPr lang="en-US" sz="1000" b="0" i="0" u="none" strike="noStrike" baseline="0">
              <a:solidFill>
                <a:srgbClr val="000000"/>
              </a:solidFill>
              <a:latin typeface="Arial"/>
              <a:cs typeface="Arial"/>
            </a:rPr>
            <a:t>Melissa McKendree, Department of Agricultural, Food and Resource Economics</a:t>
          </a:r>
        </a:p>
        <a:p>
          <a:pPr algn="ctr" rtl="0">
            <a:defRPr sz="1000"/>
          </a:pPr>
          <a:r>
            <a:rPr lang="en-US" sz="1000" b="0" i="0" u="none" strike="noStrike" baseline="0">
              <a:solidFill>
                <a:srgbClr val="000000"/>
              </a:solidFill>
              <a:latin typeface="Arial"/>
              <a:cs typeface="Arial"/>
            </a:rPr>
            <a:t>Roy Black, Department of Agricultural, Food and Resource Economics</a:t>
          </a:r>
        </a:p>
        <a:p>
          <a:pPr algn="ctr" rtl="0">
            <a:defRPr sz="1000"/>
          </a:pPr>
          <a:r>
            <a:rPr lang="en-US" sz="1000" b="0" i="0" u="none" strike="noStrike" baseline="0">
              <a:solidFill>
                <a:srgbClr val="000000"/>
              </a:solidFill>
              <a:latin typeface="Arial"/>
              <a:cs typeface="Arial"/>
            </a:rPr>
            <a:t>Steven Rust, Department of Animal Science</a:t>
          </a:r>
        </a:p>
        <a:p>
          <a:pPr algn="ctr" rtl="0">
            <a:defRPr sz="1000"/>
          </a:pPr>
          <a:endParaRPr lang="en-US" sz="1000" b="0" i="0" u="none" strike="noStrike" baseline="0">
            <a:solidFill>
              <a:srgbClr val="000000"/>
            </a:solidFill>
            <a:latin typeface="Arial"/>
            <a:cs typeface="Arial"/>
          </a:endParaRPr>
        </a:p>
        <a:p>
          <a:pPr algn="ctr" rtl="0">
            <a:defRPr sz="1000"/>
          </a:pPr>
          <a:endParaRPr lang="en-US" sz="1000" b="0" i="0" u="none" strike="noStrike" baseline="0">
            <a:solidFill>
              <a:srgbClr val="000000"/>
            </a:solidFill>
            <a:latin typeface="Arial"/>
            <a:cs typeface="Arial"/>
          </a:endParaRPr>
        </a:p>
        <a:p>
          <a:pPr algn="ctr" rtl="0">
            <a:defRPr sz="1000"/>
          </a:pPr>
          <a:r>
            <a:rPr lang="en-US" sz="1000" b="0" i="0" u="none" strike="noStrike" baseline="0">
              <a:solidFill>
                <a:srgbClr val="000000"/>
              </a:solidFill>
              <a:latin typeface="Arial"/>
              <a:cs typeface="Arial"/>
            </a:rPr>
            <a:t>Adopted from version 1.03 from:</a:t>
          </a:r>
        </a:p>
        <a:p>
          <a:pPr algn="ctr" rtl="0">
            <a:defRPr sz="1000"/>
          </a:pPr>
          <a:r>
            <a:rPr lang="en-US" sz="1000" b="0" i="1" u="none" strike="noStrike" baseline="0">
              <a:solidFill>
                <a:srgbClr val="000000"/>
              </a:solidFill>
              <a:latin typeface="Arial"/>
              <a:cs typeface="Arial"/>
            </a:rPr>
            <a:t>Dan Buskirk, Department of Animal Science</a:t>
          </a:r>
        </a:p>
        <a:p>
          <a:pPr algn="ctr" rtl="0">
            <a:defRPr sz="1000"/>
          </a:pPr>
          <a:r>
            <a:rPr lang="en-US" sz="1000" b="0" i="1" u="none" strike="noStrike" baseline="0">
              <a:solidFill>
                <a:srgbClr val="000000"/>
              </a:solidFill>
              <a:latin typeface="Arial"/>
              <a:cs typeface="Arial"/>
            </a:rPr>
            <a:t>Roy Black, Department of Agricultural, Food and Resource Economics</a:t>
          </a:r>
        </a:p>
        <a:p>
          <a:pPr algn="ctr" rtl="0">
            <a:defRPr sz="1000"/>
          </a:pPr>
          <a:r>
            <a:rPr lang="en-US" sz="1000" b="0" i="1" u="none" strike="noStrike" baseline="0">
              <a:solidFill>
                <a:srgbClr val="000000"/>
              </a:solidFill>
              <a:latin typeface="Arial"/>
              <a:cs typeface="Arial"/>
            </a:rPr>
            <a:t>Kevin Gould, Extension Area of Expertise</a:t>
          </a:r>
        </a:p>
        <a:p>
          <a:pPr algn="ctr" rtl="0">
            <a:defRPr sz="1000"/>
          </a:pPr>
          <a:r>
            <a:rPr lang="en-US" sz="1000" b="0" i="1" u="none" strike="noStrike" baseline="0">
              <a:solidFill>
                <a:srgbClr val="000000"/>
              </a:solidFill>
              <a:latin typeface="Arial"/>
              <a:cs typeface="Arial"/>
            </a:rPr>
            <a:t>Jeannine Schweihofer, Extension Area of Expertise</a:t>
          </a:r>
        </a:p>
      </xdr:txBody>
    </xdr:sp>
    <xdr:clientData/>
  </xdr:twoCellAnchor>
  <xdr:twoCellAnchor>
    <xdr:from>
      <xdr:col>3</xdr:col>
      <xdr:colOff>417195</xdr:colOff>
      <xdr:row>22</xdr:row>
      <xdr:rowOff>123825</xdr:rowOff>
    </xdr:from>
    <xdr:to>
      <xdr:col>6</xdr:col>
      <xdr:colOff>195276</xdr:colOff>
      <xdr:row>27</xdr:row>
      <xdr:rowOff>95250</xdr:rowOff>
    </xdr:to>
    <xdr:sp macro="" textlink="">
      <xdr:nvSpPr>
        <xdr:cNvPr id="1027" name="Text 3">
          <a:extLst>
            <a:ext uri="{FF2B5EF4-FFF2-40B4-BE49-F238E27FC236}">
              <a16:creationId xmlns:a16="http://schemas.microsoft.com/office/drawing/2014/main" id="{00000000-0008-0000-0000-000003040000}"/>
            </a:ext>
          </a:extLst>
        </xdr:cNvPr>
        <xdr:cNvSpPr txBox="1">
          <a:spLocks noChangeArrowheads="1"/>
        </xdr:cNvSpPr>
      </xdr:nvSpPr>
      <xdr:spPr bwMode="auto">
        <a:xfrm>
          <a:off x="2133600" y="3686175"/>
          <a:ext cx="1533525" cy="781050"/>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xdr:spPr>
      <xdr:txBody>
        <a:bodyPr vertOverflow="clip" wrap="square" lIns="36576" tIns="32004" rIns="36576" bIns="0" anchor="t" upright="1"/>
        <a:lstStyle/>
        <a:p>
          <a:pPr algn="ctr" rtl="0">
            <a:defRPr sz="1000"/>
          </a:pPr>
          <a:endParaRPr lang="en-US" sz="1400" b="1" i="0" u="none" strike="noStrike" baseline="0">
            <a:solidFill>
              <a:srgbClr val="000000"/>
            </a:solidFill>
            <a:latin typeface="Times New Roman"/>
            <a:cs typeface="Times New Roman"/>
          </a:endParaRPr>
        </a:p>
        <a:p>
          <a:pPr algn="ctr" rtl="0">
            <a:defRPr sz="1000"/>
          </a:pPr>
          <a:r>
            <a:rPr lang="en-US" sz="1400" b="1" i="0" u="none" strike="noStrike" baseline="0">
              <a:solidFill>
                <a:srgbClr val="000000"/>
              </a:solidFill>
              <a:latin typeface="Times New Roman"/>
              <a:cs typeface="Times New Roman"/>
            </a:rPr>
            <a:t>February 2019</a:t>
          </a:r>
          <a:endParaRPr lang="en-US" sz="1400" b="1" i="1" u="none" strike="noStrike" baseline="0">
            <a:solidFill>
              <a:srgbClr val="000000"/>
            </a:solidFill>
            <a:latin typeface="Times New Roman"/>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393700</xdr:colOff>
          <xdr:row>1</xdr:row>
          <xdr:rowOff>31750</xdr:rowOff>
        </xdr:from>
        <xdr:to>
          <xdr:col>10</xdr:col>
          <xdr:colOff>393700</xdr:colOff>
          <xdr:row>56</xdr:row>
          <xdr:rowOff>57150</xdr:rowOff>
        </xdr:to>
        <xdr:sp macro="" textlink="">
          <xdr:nvSpPr>
            <xdr:cNvPr id="12291" name="Object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385763</xdr:colOff>
      <xdr:row>40</xdr:row>
      <xdr:rowOff>19050</xdr:rowOff>
    </xdr:from>
    <xdr:to>
      <xdr:col>4</xdr:col>
      <xdr:colOff>21647</xdr:colOff>
      <xdr:row>42</xdr:row>
      <xdr:rowOff>142875</xdr:rowOff>
    </xdr:to>
    <xdr:sp macro="" textlink="">
      <xdr:nvSpPr>
        <xdr:cNvPr id="4099" name="Text 3">
          <a:extLst>
            <a:ext uri="{FF2B5EF4-FFF2-40B4-BE49-F238E27FC236}">
              <a16:creationId xmlns:a16="http://schemas.microsoft.com/office/drawing/2014/main" id="{00000000-0008-0000-0600-000003100000}"/>
            </a:ext>
          </a:extLst>
        </xdr:cNvPr>
        <xdr:cNvSpPr txBox="1">
          <a:spLocks noChangeArrowheads="1"/>
        </xdr:cNvSpPr>
      </xdr:nvSpPr>
      <xdr:spPr bwMode="auto">
        <a:xfrm>
          <a:off x="3117707" y="5664777"/>
          <a:ext cx="1185861" cy="444212"/>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xdr:spPr>
      <xdr:txBody>
        <a:bodyPr vertOverflow="clip" wrap="square" lIns="27432" tIns="22860" rIns="0" bIns="0" anchor="t" upright="1"/>
        <a:lstStyle/>
        <a:p>
          <a:pPr algn="l" rtl="0">
            <a:defRPr sz="1000"/>
          </a:pPr>
          <a:r>
            <a:rPr lang="en-US" sz="800" b="0" i="0" u="none" strike="noStrike" baseline="0">
              <a:solidFill>
                <a:srgbClr val="000000"/>
              </a:solidFill>
              <a:latin typeface="Arial"/>
              <a:cs typeface="Arial"/>
            </a:rPr>
            <a:t>(From feedlot feed- Holstein or Beef Finisher worksheet)</a:t>
          </a:r>
        </a:p>
      </xdr:txBody>
    </xdr:sp>
    <xdr:clientData/>
  </xdr:twoCellAnchor>
  <mc:AlternateContent xmlns:mc="http://schemas.openxmlformats.org/markup-compatibility/2006">
    <mc:Choice xmlns:a14="http://schemas.microsoft.com/office/drawing/2010/main" Requires="a14">
      <xdr:twoCellAnchor>
        <xdr:from>
          <xdr:col>4</xdr:col>
          <xdr:colOff>19050</xdr:colOff>
          <xdr:row>0</xdr:row>
          <xdr:rowOff>0</xdr:rowOff>
        </xdr:from>
        <xdr:to>
          <xdr:col>7</xdr:col>
          <xdr:colOff>850900</xdr:colOff>
          <xdr:row>1</xdr:row>
          <xdr:rowOff>0</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6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en-US" sz="1000" b="1" i="0" u="none" strike="noStrike" baseline="0">
                  <a:solidFill>
                    <a:srgbClr val="000000"/>
                  </a:solidFill>
                  <a:latin typeface="Arial"/>
                  <a:cs typeface="Arial"/>
                </a:rPr>
                <a:t>Your values</a:t>
              </a:r>
            </a:p>
          </xdr:txBody>
        </xdr:sp>
        <xdr:clientData/>
      </xdr:twoCellAnchor>
    </mc:Choice>
    <mc:Fallback/>
  </mc:AlternateContent>
  <xdr:twoCellAnchor>
    <xdr:from>
      <xdr:col>2</xdr:col>
      <xdr:colOff>385762</xdr:colOff>
      <xdr:row>37</xdr:row>
      <xdr:rowOff>19050</xdr:rowOff>
    </xdr:from>
    <xdr:to>
      <xdr:col>4</xdr:col>
      <xdr:colOff>12988</xdr:colOff>
      <xdr:row>39</xdr:row>
      <xdr:rowOff>86591</xdr:rowOff>
    </xdr:to>
    <xdr:sp macro="" textlink="">
      <xdr:nvSpPr>
        <xdr:cNvPr id="8" name="Text 3">
          <a:extLst>
            <a:ext uri="{FF2B5EF4-FFF2-40B4-BE49-F238E27FC236}">
              <a16:creationId xmlns:a16="http://schemas.microsoft.com/office/drawing/2014/main" id="{00000000-0008-0000-0600-000008000000}"/>
            </a:ext>
          </a:extLst>
        </xdr:cNvPr>
        <xdr:cNvSpPr txBox="1">
          <a:spLocks noChangeArrowheads="1"/>
        </xdr:cNvSpPr>
      </xdr:nvSpPr>
      <xdr:spPr bwMode="auto">
        <a:xfrm>
          <a:off x="3117706" y="5158221"/>
          <a:ext cx="1177203" cy="405245"/>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xdr:spPr>
      <xdr:txBody>
        <a:bodyPr vertOverflow="clip" wrap="square" lIns="27432" tIns="22860" rIns="0" bIns="0" anchor="t" upright="1"/>
        <a:lstStyle/>
        <a:p>
          <a:pPr algn="l" rtl="0">
            <a:defRPr sz="1000"/>
          </a:pPr>
          <a:r>
            <a:rPr lang="en-US" sz="800" b="0" i="0" u="none" strike="noStrike" baseline="0">
              <a:solidFill>
                <a:srgbClr val="000000"/>
              </a:solidFill>
              <a:latin typeface="Arial"/>
              <a:cs typeface="Arial"/>
            </a:rPr>
            <a:t>(From feedlot feed- Holstein Grower worksheet)</a:t>
          </a:r>
        </a:p>
      </xdr:txBody>
    </xdr:sp>
    <xdr:clientData/>
  </xdr:twoCellAnchor>
  <xdr:twoCellAnchor>
    <xdr:from>
      <xdr:col>2</xdr:col>
      <xdr:colOff>554183</xdr:colOff>
      <xdr:row>48</xdr:row>
      <xdr:rowOff>32038</xdr:rowOff>
    </xdr:from>
    <xdr:to>
      <xdr:col>3</xdr:col>
      <xdr:colOff>796637</xdr:colOff>
      <xdr:row>50</xdr:row>
      <xdr:rowOff>8658</xdr:rowOff>
    </xdr:to>
    <xdr:sp macro="" textlink="">
      <xdr:nvSpPr>
        <xdr:cNvPr id="7" name="Text 3">
          <a:extLst>
            <a:ext uri="{FF2B5EF4-FFF2-40B4-BE49-F238E27FC236}">
              <a16:creationId xmlns:a16="http://schemas.microsoft.com/office/drawing/2014/main" id="{00000000-0008-0000-0600-000007000000}"/>
            </a:ext>
          </a:extLst>
        </xdr:cNvPr>
        <xdr:cNvSpPr txBox="1">
          <a:spLocks noChangeArrowheads="1"/>
        </xdr:cNvSpPr>
      </xdr:nvSpPr>
      <xdr:spPr bwMode="auto">
        <a:xfrm>
          <a:off x="3346740" y="7491845"/>
          <a:ext cx="891886" cy="314325"/>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xdr:spPr>
      <xdr:txBody>
        <a:bodyPr vertOverflow="clip" wrap="square" lIns="27432" tIns="22860" rIns="0" bIns="0" anchor="t" upright="1"/>
        <a:lstStyle/>
        <a:p>
          <a:pPr algn="l" rtl="0">
            <a:defRPr sz="1000"/>
          </a:pPr>
          <a:r>
            <a:rPr lang="en-US" sz="800" b="0" i="0" u="none" strike="noStrike" baseline="0">
              <a:solidFill>
                <a:srgbClr val="000000"/>
              </a:solidFill>
              <a:latin typeface="Arial"/>
              <a:cs typeface="Arial"/>
            </a:rPr>
            <a:t>(From Yardage worksheet)</a:t>
          </a:r>
        </a:p>
      </xdr:txBody>
    </xdr:sp>
    <xdr:clientData/>
  </xdr:twoCellAnchor>
  <xdr:twoCellAnchor>
    <xdr:from>
      <xdr:col>1</xdr:col>
      <xdr:colOff>1848717</xdr:colOff>
      <xdr:row>62</xdr:row>
      <xdr:rowOff>38965</xdr:rowOff>
    </xdr:from>
    <xdr:to>
      <xdr:col>2</xdr:col>
      <xdr:colOff>606136</xdr:colOff>
      <xdr:row>64</xdr:row>
      <xdr:rowOff>142873</xdr:rowOff>
    </xdr:to>
    <xdr:sp macro="" textlink="">
      <xdr:nvSpPr>
        <xdr:cNvPr id="6" name="Text 3">
          <a:extLst>
            <a:ext uri="{FF2B5EF4-FFF2-40B4-BE49-F238E27FC236}">
              <a16:creationId xmlns:a16="http://schemas.microsoft.com/office/drawing/2014/main" id="{00000000-0008-0000-0600-000006000000}"/>
            </a:ext>
          </a:extLst>
        </xdr:cNvPr>
        <xdr:cNvSpPr txBox="1">
          <a:spLocks noChangeArrowheads="1"/>
        </xdr:cNvSpPr>
      </xdr:nvSpPr>
      <xdr:spPr bwMode="auto">
        <a:xfrm>
          <a:off x="2498149" y="10312977"/>
          <a:ext cx="1034760" cy="424294"/>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xdr:spPr>
      <xdr:txBody>
        <a:bodyPr vertOverflow="clip" wrap="square" lIns="27432" tIns="22860" rIns="0" bIns="0" anchor="t" upright="1"/>
        <a:lstStyle/>
        <a:p>
          <a:pPr algn="l" rtl="0">
            <a:defRPr sz="1000"/>
          </a:pPr>
          <a:r>
            <a:rPr lang="en-US" sz="800" b="0" i="0" u="none" strike="noStrike" baseline="0">
              <a:solidFill>
                <a:srgbClr val="000000"/>
              </a:solidFill>
              <a:latin typeface="Arial"/>
              <a:cs typeface="Arial"/>
            </a:rPr>
            <a:t>Grey box is proportion being borrowed 1=100%, 0.50=50%</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file:///U:\Enterprise%20Budgets\Fed%20cattle-%20short%20course\Directions%20for%20using%20Feedlot%20Enterprise%20Budget%20Spreadsheet.doc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ichiganstate-my.sharepoint.com/personal/mckend14_msu_edu/Documents/Enterprise%20Budgets/Fed%20cattle-%20short%20course/Break%20Even%20Feedlot%20.%20Ryan-%20Grower%20Budget%202-2018%20MGSM%201-3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12">
    <oleItems>
      <oleItem name="'" advise="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Directions"/>
      <sheetName val="Breakeven tables"/>
      <sheetName val="Feedlot"/>
      <sheetName val="Feedlot feed- Grower 500-900 "/>
    </sheetNames>
    <sheetDataSet>
      <sheetData sheetId="0"/>
      <sheetData sheetId="1"/>
      <sheetData sheetId="2"/>
      <sheetData sheetId="3">
        <row r="17">
          <cell r="E17">
            <v>3.4</v>
          </cell>
        </row>
        <row r="18">
          <cell r="E18">
            <v>6.5</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fyi.extension.wisc.edu/wbic/files/2015/08/UW-Extension-Holstein-Steer-Finishing-Yardage-summary-final.pdf"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485"/>
  <sheetViews>
    <sheetView workbookViewId="0">
      <selection activeCell="J28" sqref="J28"/>
    </sheetView>
  </sheetViews>
  <sheetFormatPr defaultColWidth="8.7265625" defaultRowHeight="12.5" x14ac:dyDescent="0.25"/>
  <cols>
    <col min="1" max="81" width="8.7265625" style="24" customWidth="1"/>
    <col min="82" max="16384" width="8.7265625" style="24"/>
  </cols>
  <sheetData>
    <row r="1" spans="1:18" ht="12.75" customHeight="1" x14ac:dyDescent="0.25">
      <c r="A1" s="45"/>
      <c r="B1" s="15"/>
      <c r="C1" s="15"/>
      <c r="D1" s="15"/>
      <c r="E1" s="15"/>
      <c r="F1" s="15"/>
      <c r="G1" s="15"/>
      <c r="H1" s="15"/>
      <c r="I1" s="15"/>
      <c r="J1" s="15"/>
      <c r="K1" s="15"/>
      <c r="L1" s="15"/>
      <c r="M1" s="15"/>
      <c r="N1" s="15"/>
      <c r="O1" s="15"/>
      <c r="P1" s="15"/>
      <c r="Q1" s="15"/>
      <c r="R1" s="15"/>
    </row>
    <row r="2" spans="1:18" ht="12.75" customHeight="1" x14ac:dyDescent="0.3">
      <c r="A2" s="46"/>
      <c r="B2" s="16"/>
      <c r="M2" s="15"/>
      <c r="N2" s="15"/>
      <c r="O2" s="15"/>
      <c r="P2" s="15"/>
      <c r="Q2" s="15"/>
      <c r="R2" s="15"/>
    </row>
    <row r="3" spans="1:18" ht="12.75" customHeight="1" x14ac:dyDescent="0.3">
      <c r="A3" s="46"/>
      <c r="B3" s="16"/>
      <c r="M3" s="15"/>
      <c r="N3" s="15"/>
      <c r="O3" s="15"/>
      <c r="P3" s="15"/>
      <c r="Q3" s="15"/>
      <c r="R3" s="15"/>
    </row>
    <row r="4" spans="1:18" ht="12.75" customHeight="1" x14ac:dyDescent="0.6">
      <c r="A4" s="47"/>
      <c r="B4" s="15"/>
      <c r="C4" s="15"/>
      <c r="D4" s="15"/>
      <c r="G4" s="15"/>
      <c r="H4" s="15"/>
      <c r="I4" s="15"/>
      <c r="J4" s="15"/>
      <c r="K4" s="25"/>
      <c r="L4" s="25"/>
      <c r="M4" s="15"/>
      <c r="N4" s="15"/>
      <c r="O4" s="15"/>
      <c r="P4" s="15"/>
      <c r="Q4" s="15"/>
      <c r="R4" s="15"/>
    </row>
    <row r="5" spans="1:18" ht="12.75" customHeight="1" x14ac:dyDescent="0.65">
      <c r="A5" s="48"/>
      <c r="B5" s="15"/>
      <c r="C5" s="15"/>
      <c r="D5" s="15"/>
      <c r="G5" s="15"/>
      <c r="H5" s="15"/>
      <c r="I5" s="15"/>
      <c r="J5" s="15"/>
      <c r="K5" s="25"/>
      <c r="L5" s="25"/>
      <c r="M5" s="15"/>
      <c r="N5" s="15"/>
      <c r="O5" s="15"/>
      <c r="P5" s="15"/>
      <c r="Q5" s="15"/>
      <c r="R5" s="15"/>
    </row>
    <row r="6" spans="1:18" ht="12.75" customHeight="1" x14ac:dyDescent="0.4">
      <c r="A6" s="49"/>
      <c r="C6" s="15"/>
      <c r="D6" s="15"/>
      <c r="G6" s="15"/>
      <c r="H6" s="15"/>
      <c r="I6" s="15"/>
      <c r="J6" s="15"/>
      <c r="K6" s="15"/>
      <c r="L6" s="15"/>
      <c r="M6" s="15"/>
      <c r="N6" s="15"/>
      <c r="O6" s="15"/>
      <c r="P6" s="15"/>
      <c r="Q6" s="15"/>
      <c r="R6" s="15"/>
    </row>
    <row r="7" spans="1:18" ht="12.75" customHeight="1" x14ac:dyDescent="0.3">
      <c r="B7" s="16"/>
      <c r="C7" s="15"/>
      <c r="D7" s="15"/>
      <c r="G7" s="15"/>
      <c r="H7" s="15"/>
      <c r="I7" s="15"/>
      <c r="J7" s="15"/>
      <c r="K7" s="15"/>
      <c r="L7" s="15"/>
      <c r="M7" s="15"/>
      <c r="N7" s="15"/>
      <c r="O7" s="15"/>
      <c r="P7" s="15"/>
      <c r="Q7" s="15"/>
      <c r="R7" s="15"/>
    </row>
    <row r="8" spans="1:18" ht="12.75" customHeight="1" x14ac:dyDescent="0.35">
      <c r="A8" s="50"/>
      <c r="C8" s="15"/>
      <c r="D8" s="15"/>
      <c r="G8" s="15"/>
      <c r="H8" s="15"/>
      <c r="I8" s="15"/>
      <c r="J8" s="15"/>
      <c r="K8" s="15"/>
      <c r="L8" s="15"/>
      <c r="M8" s="15"/>
      <c r="N8" s="15"/>
      <c r="O8" s="15"/>
      <c r="P8" s="15"/>
      <c r="Q8" s="15"/>
      <c r="R8" s="15"/>
    </row>
    <row r="9" spans="1:18" ht="12.75" customHeight="1" x14ac:dyDescent="0.35">
      <c r="A9" s="50"/>
      <c r="D9" s="15"/>
      <c r="G9" s="15"/>
      <c r="H9" s="15"/>
      <c r="I9" s="15"/>
      <c r="J9" s="15"/>
      <c r="K9" s="15"/>
      <c r="L9" s="15"/>
      <c r="M9" s="15"/>
      <c r="N9" s="15"/>
      <c r="O9" s="15"/>
      <c r="P9" s="15"/>
      <c r="Q9" s="15"/>
      <c r="R9" s="15"/>
    </row>
    <row r="10" spans="1:18" ht="12.75" customHeight="1" x14ac:dyDescent="0.25">
      <c r="A10" s="51"/>
      <c r="B10" s="17"/>
      <c r="D10" s="15"/>
      <c r="G10" s="15"/>
      <c r="H10" s="15"/>
      <c r="I10" s="15"/>
      <c r="J10" s="15"/>
      <c r="K10" s="15"/>
      <c r="L10" s="15"/>
      <c r="M10" s="15"/>
      <c r="N10" s="15"/>
      <c r="O10" s="15"/>
      <c r="P10" s="15"/>
      <c r="Q10" s="15"/>
      <c r="R10" s="15"/>
    </row>
    <row r="11" spans="1:18" ht="12.75" customHeight="1" x14ac:dyDescent="0.25">
      <c r="A11" s="45"/>
      <c r="B11" s="15"/>
      <c r="C11" s="15"/>
      <c r="D11" s="15"/>
      <c r="E11" s="15"/>
      <c r="F11" s="15"/>
      <c r="G11" s="15"/>
      <c r="H11" s="15"/>
      <c r="I11" s="18"/>
      <c r="J11" s="15"/>
      <c r="K11" s="15"/>
      <c r="L11" s="15"/>
      <c r="M11" s="15"/>
      <c r="N11" s="15"/>
      <c r="O11" s="15"/>
      <c r="P11" s="15"/>
      <c r="Q11" s="15"/>
      <c r="R11" s="15"/>
    </row>
    <row r="12" spans="1:18" ht="12.75" customHeight="1" x14ac:dyDescent="0.25">
      <c r="A12" s="45"/>
      <c r="B12" s="15"/>
      <c r="C12" s="15"/>
      <c r="D12" s="15"/>
      <c r="E12" s="15"/>
      <c r="F12" s="15"/>
      <c r="G12" s="15"/>
      <c r="H12" s="15"/>
      <c r="I12" s="15"/>
      <c r="J12" s="15"/>
      <c r="K12" s="15"/>
      <c r="L12" s="15"/>
      <c r="M12" s="15"/>
      <c r="N12" s="15"/>
      <c r="O12" s="15"/>
      <c r="P12" s="15"/>
      <c r="Q12" s="15"/>
      <c r="R12" s="15"/>
    </row>
    <row r="13" spans="1:18" ht="12.75" customHeight="1" x14ac:dyDescent="0.25">
      <c r="A13" s="45"/>
      <c r="B13" s="15"/>
      <c r="C13" s="18"/>
      <c r="D13" s="18"/>
      <c r="E13" s="15"/>
      <c r="F13" s="15"/>
      <c r="G13" s="15"/>
      <c r="H13" s="15"/>
      <c r="I13" s="15"/>
      <c r="J13" s="15"/>
      <c r="K13" s="15"/>
      <c r="L13" s="15"/>
      <c r="M13" s="15"/>
      <c r="N13" s="15"/>
      <c r="O13" s="15"/>
      <c r="P13" s="15"/>
      <c r="Q13" s="15"/>
      <c r="R13" s="15"/>
    </row>
    <row r="14" spans="1:18" ht="12.75" customHeight="1" x14ac:dyDescent="0.25">
      <c r="A14" s="45"/>
      <c r="B14" s="15"/>
      <c r="C14" s="15"/>
      <c r="D14" s="15"/>
      <c r="E14" s="15"/>
      <c r="F14" s="15"/>
      <c r="G14" s="15"/>
      <c r="H14" s="15"/>
      <c r="I14" s="18"/>
      <c r="J14" s="15"/>
      <c r="K14" s="15"/>
      <c r="L14" s="15"/>
      <c r="M14" s="15"/>
      <c r="N14" s="15"/>
      <c r="O14" s="15"/>
      <c r="P14" s="15"/>
      <c r="Q14" s="15"/>
      <c r="R14" s="15"/>
    </row>
    <row r="15" spans="1:18" ht="12.75" customHeight="1" x14ac:dyDescent="0.25">
      <c r="A15" s="45"/>
      <c r="B15" s="15"/>
      <c r="C15" s="15"/>
      <c r="D15" s="15"/>
      <c r="E15" s="15"/>
      <c r="F15" s="15"/>
      <c r="G15" s="15"/>
      <c r="H15" s="15"/>
      <c r="I15" s="15"/>
      <c r="J15" s="15"/>
      <c r="K15" s="15"/>
      <c r="L15" s="15"/>
      <c r="M15" s="15"/>
      <c r="N15" s="15"/>
      <c r="O15" s="15"/>
      <c r="P15" s="15"/>
      <c r="Q15" s="15"/>
      <c r="R15" s="15"/>
    </row>
    <row r="16" spans="1:18" ht="12.75" customHeight="1" x14ac:dyDescent="0.3">
      <c r="A16" s="21"/>
      <c r="B16" s="16"/>
      <c r="C16" s="15"/>
      <c r="D16" s="15"/>
      <c r="E16" s="15"/>
      <c r="F16" s="15"/>
      <c r="G16" s="15"/>
      <c r="H16" s="15"/>
      <c r="I16" s="15"/>
      <c r="J16" s="15"/>
      <c r="K16" s="15"/>
      <c r="L16" s="15"/>
      <c r="M16" s="15"/>
      <c r="N16" s="15"/>
      <c r="O16" s="15"/>
      <c r="P16" s="15"/>
      <c r="Q16" s="15"/>
      <c r="R16" s="15"/>
    </row>
    <row r="17" spans="1:18" ht="12.75" customHeight="1" x14ac:dyDescent="0.25">
      <c r="A17" s="15"/>
      <c r="B17" s="15"/>
      <c r="C17" s="15"/>
      <c r="D17" s="15"/>
      <c r="E17" s="15"/>
      <c r="F17" s="15"/>
      <c r="G17" s="15"/>
      <c r="H17" s="15"/>
      <c r="I17" s="19"/>
      <c r="J17" s="15"/>
      <c r="K17" s="15"/>
      <c r="L17" s="15"/>
      <c r="M17" s="15"/>
      <c r="N17" s="15"/>
      <c r="O17" s="15"/>
      <c r="P17" s="15"/>
      <c r="Q17" s="15"/>
      <c r="R17" s="15"/>
    </row>
    <row r="18" spans="1:18" ht="12.75" customHeight="1" x14ac:dyDescent="0.3">
      <c r="A18" s="15"/>
      <c r="B18" s="20"/>
      <c r="C18" s="15"/>
      <c r="D18" s="15"/>
      <c r="E18" s="15"/>
      <c r="F18" s="15"/>
      <c r="G18" s="15"/>
      <c r="H18" s="15"/>
      <c r="I18" s="15"/>
      <c r="J18" s="15"/>
      <c r="K18" s="15"/>
      <c r="L18" s="15"/>
      <c r="M18" s="15"/>
      <c r="N18" s="15"/>
      <c r="O18" s="15"/>
      <c r="P18" s="15"/>
      <c r="Q18" s="15"/>
      <c r="R18" s="15"/>
    </row>
    <row r="19" spans="1:18" ht="12.75" customHeight="1" x14ac:dyDescent="0.25">
      <c r="A19" s="15"/>
      <c r="B19" s="15"/>
      <c r="C19" s="18"/>
      <c r="D19" s="18"/>
      <c r="E19" s="15"/>
      <c r="F19" s="15"/>
      <c r="G19" s="15"/>
      <c r="H19" s="15"/>
      <c r="I19" s="18"/>
      <c r="J19" s="15"/>
      <c r="K19" s="15"/>
      <c r="L19" s="15"/>
      <c r="M19" s="15"/>
      <c r="N19" s="15"/>
      <c r="O19" s="15"/>
      <c r="P19" s="15"/>
      <c r="Q19" s="15"/>
      <c r="R19" s="15"/>
    </row>
    <row r="20" spans="1:18" ht="12.75" customHeight="1" x14ac:dyDescent="0.25">
      <c r="A20" s="15"/>
      <c r="B20" s="15"/>
      <c r="C20" s="18"/>
      <c r="D20" s="18"/>
      <c r="E20" s="15"/>
      <c r="F20" s="15"/>
      <c r="G20" s="15"/>
      <c r="H20" s="15"/>
      <c r="I20" s="18"/>
      <c r="J20" s="15"/>
      <c r="K20" s="15"/>
      <c r="L20" s="15"/>
      <c r="M20" s="15"/>
      <c r="N20" s="15"/>
      <c r="O20" s="15"/>
      <c r="P20" s="15"/>
      <c r="Q20" s="15"/>
      <c r="R20" s="15"/>
    </row>
    <row r="21" spans="1:18" ht="12.75" customHeight="1" x14ac:dyDescent="0.25">
      <c r="A21" s="15"/>
      <c r="B21" s="15"/>
      <c r="C21" s="18"/>
      <c r="D21" s="18"/>
      <c r="E21" s="15"/>
      <c r="F21" s="15"/>
      <c r="G21" s="15"/>
      <c r="H21" s="15"/>
      <c r="I21" s="18"/>
      <c r="J21" s="15"/>
      <c r="K21" s="15"/>
      <c r="L21" s="15"/>
      <c r="M21" s="15"/>
      <c r="N21" s="15"/>
      <c r="O21" s="15"/>
      <c r="P21" s="15"/>
      <c r="Q21" s="15"/>
      <c r="R21" s="15"/>
    </row>
    <row r="22" spans="1:18" ht="12.75" customHeight="1" x14ac:dyDescent="0.25">
      <c r="A22" s="15"/>
      <c r="B22" s="15"/>
      <c r="C22" s="18"/>
      <c r="D22" s="18"/>
      <c r="E22" s="15"/>
      <c r="F22" s="15"/>
      <c r="G22" s="15"/>
      <c r="H22" s="15"/>
      <c r="I22" s="18"/>
      <c r="J22" s="15"/>
      <c r="K22" s="15"/>
      <c r="L22" s="15"/>
      <c r="M22" s="15"/>
      <c r="N22" s="15"/>
      <c r="O22" s="15"/>
      <c r="P22" s="15"/>
      <c r="Q22" s="15"/>
      <c r="R22" s="15"/>
    </row>
    <row r="23" spans="1:18" ht="12.75" customHeight="1" x14ac:dyDescent="0.25">
      <c r="A23" s="15"/>
      <c r="B23" s="15"/>
      <c r="C23" s="18"/>
      <c r="D23" s="18"/>
      <c r="E23" s="15"/>
      <c r="F23" s="15"/>
      <c r="G23" s="15"/>
      <c r="H23" s="15"/>
      <c r="I23" s="18"/>
      <c r="J23" s="15"/>
      <c r="K23" s="15"/>
      <c r="L23" s="15"/>
      <c r="M23" s="15"/>
      <c r="N23" s="15"/>
      <c r="O23" s="15"/>
      <c r="P23" s="15"/>
      <c r="Q23" s="15"/>
      <c r="R23" s="15"/>
    </row>
    <row r="24" spans="1:18" ht="12.75" customHeight="1" x14ac:dyDescent="0.25">
      <c r="A24" s="15"/>
      <c r="B24" s="15"/>
      <c r="C24" s="15"/>
      <c r="D24" s="15"/>
      <c r="E24" s="15"/>
      <c r="F24" s="15"/>
      <c r="G24" s="15"/>
      <c r="H24" s="15"/>
      <c r="I24" s="18"/>
      <c r="J24" s="15"/>
      <c r="K24" s="15"/>
      <c r="L24" s="15"/>
      <c r="M24" s="15"/>
      <c r="N24" s="15"/>
      <c r="O24" s="15"/>
      <c r="P24" s="15"/>
      <c r="Q24" s="15"/>
      <c r="R24" s="15"/>
    </row>
    <row r="25" spans="1:18" ht="12.75" customHeight="1" x14ac:dyDescent="0.3">
      <c r="A25" s="16"/>
      <c r="B25" s="16"/>
      <c r="C25" s="15"/>
      <c r="D25" s="15"/>
      <c r="E25" s="15"/>
      <c r="F25" s="15"/>
      <c r="G25" s="15"/>
      <c r="H25" s="15"/>
      <c r="I25" s="18"/>
      <c r="J25" s="15"/>
      <c r="K25" s="15"/>
      <c r="L25" s="15"/>
      <c r="M25" s="15"/>
      <c r="N25" s="15"/>
      <c r="O25" s="15"/>
      <c r="P25" s="15"/>
      <c r="Q25" s="15"/>
      <c r="R25" s="15"/>
    </row>
    <row r="26" spans="1:18" ht="12.75" customHeight="1" x14ac:dyDescent="0.25">
      <c r="A26" s="15"/>
      <c r="B26" s="21"/>
      <c r="C26" s="18"/>
      <c r="D26" s="18"/>
      <c r="E26" s="15"/>
      <c r="F26" s="15"/>
      <c r="G26" s="15"/>
      <c r="H26" s="15"/>
      <c r="I26" s="18"/>
      <c r="J26" s="18"/>
      <c r="K26" s="18"/>
      <c r="L26" s="15"/>
      <c r="M26" s="15"/>
      <c r="N26" s="15"/>
      <c r="O26" s="15"/>
      <c r="P26" s="15"/>
      <c r="Q26" s="15"/>
      <c r="R26" s="15"/>
    </row>
    <row r="27" spans="1:18" ht="12.75" customHeight="1" x14ac:dyDescent="0.25">
      <c r="A27" s="15"/>
      <c r="B27" s="15"/>
      <c r="C27" s="18"/>
      <c r="D27" s="18"/>
      <c r="E27" s="15"/>
      <c r="F27" s="15"/>
      <c r="G27" s="15"/>
      <c r="H27" s="15"/>
      <c r="I27" s="18"/>
      <c r="J27" s="18"/>
      <c r="K27" s="18"/>
      <c r="L27" s="15"/>
      <c r="M27" s="15"/>
      <c r="N27" s="15"/>
      <c r="O27" s="15"/>
      <c r="P27" s="15"/>
      <c r="Q27" s="15"/>
      <c r="R27" s="15"/>
    </row>
    <row r="28" spans="1:18" ht="12.75" customHeight="1" x14ac:dyDescent="0.25">
      <c r="A28" s="15"/>
      <c r="B28" s="15"/>
      <c r="C28" s="18"/>
      <c r="D28" s="18"/>
      <c r="E28" s="15"/>
      <c r="F28" s="15"/>
      <c r="G28" s="15"/>
      <c r="H28" s="15"/>
      <c r="I28" s="18"/>
      <c r="J28" s="18"/>
      <c r="K28" s="18"/>
      <c r="L28" s="15"/>
      <c r="M28" s="15"/>
      <c r="N28" s="15"/>
      <c r="O28" s="15"/>
      <c r="P28" s="15"/>
      <c r="Q28" s="15"/>
      <c r="R28" s="15"/>
    </row>
    <row r="29" spans="1:18" ht="12.75" customHeight="1" x14ac:dyDescent="0.25">
      <c r="A29" s="15"/>
      <c r="B29" s="15"/>
      <c r="C29" s="18"/>
      <c r="D29" s="18"/>
      <c r="E29" s="15"/>
      <c r="F29" s="15"/>
      <c r="G29" s="15"/>
      <c r="H29" s="15"/>
      <c r="I29" s="18"/>
      <c r="J29" s="18"/>
      <c r="K29" s="18"/>
      <c r="L29" s="15"/>
      <c r="M29" s="15"/>
      <c r="N29" s="15"/>
      <c r="O29" s="15"/>
      <c r="P29" s="15"/>
      <c r="Q29" s="15"/>
      <c r="R29" s="15"/>
    </row>
    <row r="30" spans="1:18" ht="12.75" customHeight="1" x14ac:dyDescent="0.25">
      <c r="A30" s="15"/>
      <c r="B30" s="15"/>
      <c r="C30" s="22"/>
      <c r="D30" s="22"/>
      <c r="E30" s="15"/>
      <c r="F30" s="15"/>
      <c r="G30" s="15"/>
      <c r="H30" s="15"/>
      <c r="I30" s="18"/>
      <c r="J30" s="18"/>
      <c r="K30" s="18"/>
      <c r="L30" s="15"/>
      <c r="M30" s="15"/>
      <c r="N30" s="15"/>
      <c r="O30" s="15"/>
      <c r="P30" s="15"/>
      <c r="Q30" s="15"/>
      <c r="R30" s="15"/>
    </row>
    <row r="31" spans="1:18" ht="12.75" customHeight="1" x14ac:dyDescent="0.25">
      <c r="A31" s="15"/>
      <c r="B31" s="15"/>
      <c r="C31" s="15"/>
      <c r="D31" s="15"/>
      <c r="E31" s="15"/>
      <c r="F31" s="15"/>
      <c r="G31" s="15"/>
      <c r="H31" s="15"/>
      <c r="I31" s="18"/>
      <c r="J31" s="15"/>
      <c r="K31" s="15"/>
      <c r="L31" s="15"/>
      <c r="M31" s="15"/>
      <c r="N31" s="15"/>
      <c r="O31" s="15"/>
      <c r="P31" s="15"/>
      <c r="Q31" s="15"/>
      <c r="R31" s="15"/>
    </row>
    <row r="32" spans="1:18" ht="12.75" customHeight="1" x14ac:dyDescent="0.3">
      <c r="A32" s="16"/>
      <c r="B32" s="15"/>
      <c r="C32" s="15"/>
      <c r="D32" s="15"/>
      <c r="E32" s="15"/>
      <c r="F32" s="15"/>
      <c r="G32" s="15"/>
      <c r="H32" s="15"/>
      <c r="I32" s="15"/>
      <c r="J32" s="15"/>
      <c r="K32" s="15"/>
      <c r="L32" s="15"/>
      <c r="M32" s="15"/>
      <c r="N32" s="15"/>
      <c r="O32" s="15"/>
      <c r="P32" s="15"/>
      <c r="Q32" s="15"/>
      <c r="R32" s="15"/>
    </row>
    <row r="33" spans="1:18" ht="12.75" customHeight="1" x14ac:dyDescent="0.25">
      <c r="A33" s="15"/>
      <c r="B33" s="15"/>
      <c r="C33" s="15"/>
      <c r="D33" s="18"/>
      <c r="E33" s="15"/>
      <c r="F33" s="15"/>
      <c r="G33" s="15"/>
      <c r="H33" s="15"/>
      <c r="I33" s="18"/>
      <c r="J33" s="15"/>
      <c r="K33" s="15"/>
      <c r="L33" s="15"/>
      <c r="M33" s="15"/>
      <c r="N33" s="15"/>
      <c r="O33" s="15"/>
      <c r="P33" s="15"/>
      <c r="Q33" s="15"/>
      <c r="R33" s="15"/>
    </row>
    <row r="34" spans="1:18" ht="12.75" customHeight="1" x14ac:dyDescent="0.25">
      <c r="A34" s="15"/>
      <c r="B34" s="15"/>
      <c r="C34" s="15"/>
      <c r="D34" s="18"/>
      <c r="E34" s="15"/>
      <c r="F34" s="15"/>
      <c r="G34" s="15"/>
      <c r="H34" s="15"/>
      <c r="I34" s="18"/>
      <c r="J34" s="15"/>
      <c r="K34" s="15"/>
      <c r="L34" s="15"/>
      <c r="M34" s="15"/>
      <c r="N34" s="15"/>
      <c r="O34" s="15"/>
      <c r="P34" s="15"/>
      <c r="Q34" s="15"/>
      <c r="R34" s="15"/>
    </row>
    <row r="35" spans="1:18" ht="12.75" customHeight="1" x14ac:dyDescent="0.25">
      <c r="A35" s="15"/>
      <c r="B35" s="15"/>
      <c r="C35" s="15"/>
      <c r="D35" s="18"/>
      <c r="E35" s="15"/>
      <c r="F35" s="15"/>
      <c r="G35" s="15"/>
      <c r="H35" s="15"/>
      <c r="I35" s="18"/>
      <c r="J35" s="15"/>
      <c r="K35" s="15"/>
      <c r="L35" s="15"/>
      <c r="M35" s="15"/>
      <c r="N35" s="15"/>
      <c r="O35" s="15"/>
      <c r="P35" s="15"/>
      <c r="Q35" s="15"/>
      <c r="R35" s="15"/>
    </row>
    <row r="36" spans="1:18" ht="12.75" customHeight="1" x14ac:dyDescent="0.25">
      <c r="A36" s="15"/>
      <c r="B36" s="15"/>
      <c r="C36" s="15"/>
      <c r="D36" s="18"/>
      <c r="E36" s="15"/>
      <c r="F36" s="15"/>
      <c r="G36" s="15"/>
      <c r="H36" s="15"/>
      <c r="I36" s="18"/>
      <c r="J36" s="15"/>
      <c r="K36" s="15"/>
      <c r="L36" s="15"/>
      <c r="M36" s="15"/>
      <c r="N36" s="15"/>
      <c r="O36" s="15"/>
      <c r="P36" s="15"/>
      <c r="Q36" s="15"/>
      <c r="R36" s="15"/>
    </row>
    <row r="37" spans="1:18" ht="12.75" customHeight="1" x14ac:dyDescent="0.25">
      <c r="A37" s="15"/>
      <c r="B37" s="15"/>
      <c r="C37" s="15"/>
      <c r="D37" s="18"/>
      <c r="E37" s="15"/>
      <c r="F37" s="15"/>
      <c r="G37" s="15"/>
      <c r="H37" s="15"/>
      <c r="I37" s="18"/>
      <c r="J37" s="15"/>
      <c r="K37" s="15"/>
      <c r="L37" s="15"/>
      <c r="M37" s="15"/>
      <c r="N37" s="15"/>
      <c r="O37" s="15"/>
      <c r="P37" s="15"/>
      <c r="Q37" s="15"/>
      <c r="R37" s="15"/>
    </row>
    <row r="38" spans="1:18" ht="12.75" customHeight="1" x14ac:dyDescent="0.25">
      <c r="A38" s="15"/>
      <c r="B38" s="15"/>
      <c r="C38" s="15"/>
      <c r="D38" s="18"/>
      <c r="E38" s="15"/>
      <c r="F38" s="15"/>
      <c r="G38" s="15"/>
      <c r="H38" s="15"/>
      <c r="I38" s="18"/>
      <c r="J38" s="15"/>
      <c r="K38" s="15"/>
      <c r="L38" s="15"/>
      <c r="M38" s="15"/>
      <c r="N38" s="15"/>
      <c r="O38" s="15"/>
      <c r="P38" s="15"/>
      <c r="Q38" s="15"/>
      <c r="R38" s="15"/>
    </row>
    <row r="39" spans="1:18" ht="12.75" customHeight="1" x14ac:dyDescent="0.25">
      <c r="A39" s="15"/>
      <c r="B39" s="15"/>
      <c r="C39" s="15"/>
      <c r="D39" s="18"/>
      <c r="E39" s="15"/>
      <c r="F39" s="15"/>
      <c r="G39" s="15"/>
      <c r="H39" s="15"/>
      <c r="I39" s="18"/>
      <c r="J39" s="15"/>
      <c r="K39" s="15"/>
      <c r="L39" s="15"/>
      <c r="M39" s="15"/>
      <c r="N39" s="15"/>
      <c r="O39" s="15"/>
      <c r="P39" s="15"/>
      <c r="Q39" s="15"/>
      <c r="R39" s="15"/>
    </row>
    <row r="40" spans="1:18" ht="12.75" customHeight="1" x14ac:dyDescent="0.25">
      <c r="A40" s="15"/>
      <c r="B40" s="15"/>
      <c r="C40" s="23"/>
      <c r="D40" s="23"/>
      <c r="E40" s="15"/>
      <c r="F40" s="15"/>
      <c r="G40" s="15"/>
      <c r="H40" s="15"/>
      <c r="I40" s="23"/>
      <c r="J40" s="15"/>
      <c r="K40" s="15"/>
      <c r="L40" s="15"/>
      <c r="M40" s="15"/>
      <c r="N40" s="15"/>
      <c r="O40" s="15"/>
      <c r="P40" s="15"/>
      <c r="Q40" s="15"/>
      <c r="R40" s="15"/>
    </row>
    <row r="41" spans="1:18" ht="12.75" customHeight="1" x14ac:dyDescent="0.25">
      <c r="A41" s="15"/>
      <c r="B41" s="15"/>
      <c r="C41" s="18"/>
      <c r="D41" s="18"/>
      <c r="E41" s="15"/>
      <c r="F41" s="15"/>
      <c r="G41" s="15"/>
      <c r="H41" s="15"/>
      <c r="I41" s="18"/>
      <c r="J41" s="15"/>
      <c r="K41" s="15"/>
      <c r="L41" s="15"/>
      <c r="M41" s="18"/>
      <c r="N41" s="15"/>
      <c r="O41" s="15"/>
      <c r="P41" s="15"/>
      <c r="Q41" s="15"/>
      <c r="R41" s="15"/>
    </row>
    <row r="42" spans="1:18" ht="12.75" customHeight="1" x14ac:dyDescent="0.25">
      <c r="A42" s="15"/>
      <c r="B42" s="15"/>
      <c r="C42" s="22"/>
      <c r="D42" s="22"/>
      <c r="E42" s="15"/>
      <c r="F42" s="15"/>
      <c r="G42" s="15"/>
      <c r="H42" s="15"/>
      <c r="I42" s="18"/>
      <c r="J42" s="15"/>
      <c r="K42" s="15"/>
      <c r="L42" s="15"/>
      <c r="M42" s="15"/>
      <c r="N42" s="15"/>
      <c r="O42" s="15"/>
      <c r="P42" s="15"/>
      <c r="Q42" s="15"/>
      <c r="R42" s="15"/>
    </row>
    <row r="43" spans="1:18" ht="12.75" customHeight="1" x14ac:dyDescent="0.25">
      <c r="A43" s="15"/>
      <c r="B43" s="15"/>
      <c r="C43" s="22"/>
      <c r="D43" s="22"/>
      <c r="E43" s="15"/>
      <c r="F43" s="15"/>
      <c r="G43" s="15"/>
      <c r="H43" s="15"/>
      <c r="I43" s="18"/>
      <c r="J43" s="15"/>
      <c r="K43" s="15"/>
      <c r="L43" s="15"/>
      <c r="M43" s="15"/>
      <c r="N43" s="15"/>
      <c r="O43" s="15"/>
      <c r="P43" s="15"/>
      <c r="Q43" s="15"/>
      <c r="R43" s="15"/>
    </row>
    <row r="44" spans="1:18" ht="12.75" customHeight="1" x14ac:dyDescent="0.25">
      <c r="A44" s="15"/>
      <c r="B44" s="15"/>
      <c r="C44" s="15"/>
      <c r="D44" s="15"/>
      <c r="E44" s="15"/>
      <c r="F44" s="21"/>
      <c r="G44" s="15"/>
      <c r="H44" s="15"/>
      <c r="I44" s="18"/>
      <c r="J44" s="15"/>
      <c r="K44" s="15"/>
      <c r="L44" s="15"/>
      <c r="M44" s="15"/>
      <c r="N44" s="15"/>
      <c r="O44" s="15"/>
      <c r="P44" s="15"/>
      <c r="Q44" s="15"/>
      <c r="R44" s="15"/>
    </row>
    <row r="45" spans="1:18" ht="12.75" customHeight="1" x14ac:dyDescent="0.3">
      <c r="A45" s="16"/>
      <c r="B45" s="15"/>
      <c r="C45" s="15"/>
      <c r="D45" s="15"/>
      <c r="E45" s="15"/>
      <c r="F45" s="15"/>
      <c r="G45" s="15"/>
      <c r="H45" s="15"/>
      <c r="I45" s="15"/>
      <c r="J45" s="15"/>
      <c r="K45" s="15"/>
      <c r="L45" s="15"/>
      <c r="M45" s="15"/>
      <c r="N45" s="15"/>
      <c r="O45" s="15"/>
      <c r="P45" s="15"/>
      <c r="Q45" s="15"/>
      <c r="R45" s="15"/>
    </row>
    <row r="46" spans="1:18" ht="12.75" customHeight="1" x14ac:dyDescent="0.25">
      <c r="A46" s="15"/>
      <c r="B46" s="15"/>
      <c r="C46" s="15"/>
      <c r="D46" s="18"/>
      <c r="E46" s="15"/>
      <c r="F46" s="15"/>
      <c r="G46" s="15"/>
      <c r="H46" s="15"/>
      <c r="I46" s="18"/>
      <c r="J46" s="15"/>
      <c r="K46" s="15"/>
      <c r="L46" s="15"/>
      <c r="M46" s="15"/>
      <c r="N46" s="15"/>
      <c r="O46" s="15"/>
      <c r="P46" s="15"/>
      <c r="Q46" s="15"/>
      <c r="R46" s="15"/>
    </row>
    <row r="47" spans="1:18" ht="12.75" customHeight="1" x14ac:dyDescent="0.25">
      <c r="A47" s="15"/>
      <c r="B47" s="15"/>
      <c r="C47" s="15"/>
      <c r="D47" s="18"/>
      <c r="E47" s="15"/>
      <c r="F47" s="15"/>
      <c r="G47" s="15"/>
      <c r="H47" s="15"/>
      <c r="I47" s="22"/>
      <c r="J47" s="15"/>
      <c r="K47" s="15"/>
      <c r="L47" s="15"/>
      <c r="M47" s="15"/>
      <c r="N47" s="15"/>
      <c r="O47" s="15"/>
      <c r="P47" s="15"/>
      <c r="Q47" s="15"/>
      <c r="R47" s="15"/>
    </row>
    <row r="48" spans="1:18" ht="12.75" customHeight="1" x14ac:dyDescent="0.25">
      <c r="A48" s="15"/>
      <c r="B48" s="15"/>
      <c r="C48" s="15"/>
      <c r="D48" s="15"/>
      <c r="E48" s="15"/>
      <c r="F48" s="15"/>
      <c r="G48" s="15"/>
      <c r="H48" s="15"/>
      <c r="I48" s="15"/>
      <c r="J48" s="15"/>
      <c r="K48" s="15"/>
      <c r="L48" s="15"/>
      <c r="M48" s="15"/>
      <c r="N48" s="15"/>
      <c r="O48" s="15"/>
      <c r="P48" s="15"/>
      <c r="Q48" s="15"/>
      <c r="R48" s="15"/>
    </row>
    <row r="49" spans="1:18" ht="12.75" customHeight="1" x14ac:dyDescent="0.25">
      <c r="A49" s="15"/>
      <c r="B49" s="15"/>
      <c r="C49" s="15"/>
      <c r="D49" s="15"/>
      <c r="E49" s="15"/>
      <c r="F49" s="15"/>
      <c r="G49" s="15"/>
      <c r="H49" s="15"/>
      <c r="I49" s="15"/>
      <c r="J49" s="15"/>
      <c r="K49" s="15"/>
      <c r="L49" s="15"/>
      <c r="M49" s="15"/>
      <c r="N49" s="15"/>
      <c r="O49" s="15"/>
      <c r="P49" s="15"/>
      <c r="Q49" s="15"/>
      <c r="R49" s="15"/>
    </row>
    <row r="50" spans="1:18" ht="12.75" customHeight="1" x14ac:dyDescent="0.25"/>
    <row r="51" spans="1:18" ht="12.75" customHeight="1" x14ac:dyDescent="0.25"/>
    <row r="52" spans="1:18" ht="12.75" customHeight="1" x14ac:dyDescent="0.25"/>
    <row r="53" spans="1:18" ht="12.75" customHeight="1" x14ac:dyDescent="0.25"/>
    <row r="54" spans="1:18" ht="12.75" customHeight="1" x14ac:dyDescent="0.25"/>
    <row r="55" spans="1:18" ht="12.75" customHeight="1" x14ac:dyDescent="0.25"/>
    <row r="56" spans="1:18" ht="12.75" customHeight="1" x14ac:dyDescent="0.25"/>
    <row r="57" spans="1:18" ht="12.75" customHeight="1" x14ac:dyDescent="0.25"/>
    <row r="58" spans="1:18" ht="12.75" customHeight="1" x14ac:dyDescent="0.25"/>
    <row r="59" spans="1:18" ht="12.75" customHeight="1" x14ac:dyDescent="0.25"/>
    <row r="60" spans="1:18" ht="12.75" customHeight="1" x14ac:dyDescent="0.25"/>
    <row r="61" spans="1:18" ht="12.75" customHeight="1" x14ac:dyDescent="0.25"/>
    <row r="62" spans="1:18" ht="12.75" customHeight="1" x14ac:dyDescent="0.25"/>
    <row r="63" spans="1:18" ht="12.75" customHeight="1" x14ac:dyDescent="0.25"/>
    <row r="64" spans="1:18"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sheetData>
  <sheetProtection sheet="1" objects="1" scenarios="1"/>
  <phoneticPr fontId="0" type="noConversion"/>
  <printOptions gridLines="1" gridLinesSet="0"/>
  <pageMargins left="0.75" right="0.75" top="1" bottom="1" header="0.5" footer="0.5"/>
  <pageSetup orientation="portrait" horizontalDpi="4294967292" r:id="rId1"/>
  <headerFooter alignWithMargins="0">
    <oddFooter>&amp;C&amp;"Arial,Italic"&amp;12Printed  &amp;D  &amp;T</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abSelected="1" zoomScale="90" zoomScaleNormal="90" workbookViewId="0">
      <selection activeCell="M2" sqref="M2"/>
    </sheetView>
  </sheetViews>
  <sheetFormatPr defaultRowHeight="12.5" x14ac:dyDescent="0.25"/>
  <sheetData/>
  <sheetProtection sheet="1" objects="1" scenarios="1"/>
  <pageMargins left="0.7" right="0.7" top="0.75" bottom="0.75" header="0.3" footer="0.3"/>
  <pageSetup orientation="portrait" r:id="rId1"/>
  <drawing r:id="rId2"/>
  <legacyDrawing r:id="rId3"/>
  <oleObjects>
    <mc:AlternateContent xmlns:mc="http://schemas.openxmlformats.org/markup-compatibility/2006">
      <mc:Choice Requires="x14">
        <oleObject link="[1]!''''" oleUpdate="OLEUPDATE_ALWAYS" shapeId="12291">
          <objectPr defaultSize="0" autoPict="0" dde="1" r:id="rId4">
            <anchor moveWithCells="1">
              <from>
                <xdr:col>0</xdr:col>
                <xdr:colOff>393700</xdr:colOff>
                <xdr:row>1</xdr:row>
                <xdr:rowOff>31750</xdr:rowOff>
              </from>
              <to>
                <xdr:col>10</xdr:col>
                <xdr:colOff>393700</xdr:colOff>
                <xdr:row>56</xdr:row>
                <xdr:rowOff>57150</xdr:rowOff>
              </to>
            </anchor>
          </objectPr>
        </oleObject>
      </mc:Choice>
      <mc:Fallback>
        <oleObject link="[1]!''''" oleUpdate="OLEUPDATE_ALWAYS" shapeId="12291"/>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1"/>
  <sheetViews>
    <sheetView topLeftCell="A5" zoomScaleNormal="100" workbookViewId="0">
      <selection activeCell="E14" sqref="E14"/>
    </sheetView>
  </sheetViews>
  <sheetFormatPr defaultRowHeight="12.5" x14ac:dyDescent="0.25"/>
  <cols>
    <col min="1" max="1" width="19.08984375" customWidth="1"/>
    <col min="2" max="2" width="8.36328125" customWidth="1"/>
    <col min="3" max="3" width="9.81640625" customWidth="1"/>
    <col min="4" max="4" width="8.36328125" customWidth="1"/>
    <col min="5" max="5" width="12.26953125" customWidth="1"/>
    <col min="6" max="6" width="7.36328125" customWidth="1"/>
    <col min="7" max="7" width="6.26953125" customWidth="1"/>
    <col min="8" max="8" width="6.7265625" customWidth="1"/>
    <col min="9" max="10" width="8.26953125" customWidth="1"/>
  </cols>
  <sheetData>
    <row r="1" spans="1:10" ht="18" x14ac:dyDescent="0.4">
      <c r="A1" s="75" t="s">
        <v>163</v>
      </c>
    </row>
    <row r="2" spans="1:10" ht="13.5" thickBot="1" x14ac:dyDescent="0.35">
      <c r="A2" s="54" t="s">
        <v>40</v>
      </c>
      <c r="B2" s="33"/>
      <c r="C2" s="33"/>
      <c r="D2" s="33"/>
      <c r="E2" s="33"/>
      <c r="F2" s="33"/>
      <c r="G2" s="33"/>
      <c r="H2" s="33"/>
      <c r="I2" s="33"/>
      <c r="J2" s="33"/>
    </row>
    <row r="3" spans="1:10" ht="25.5" customHeight="1" thickTop="1" x14ac:dyDescent="0.25">
      <c r="A3" s="253" t="s">
        <v>160</v>
      </c>
      <c r="B3" s="253"/>
      <c r="C3" s="64" t="s">
        <v>41</v>
      </c>
      <c r="G3" s="4"/>
      <c r="H3" s="4"/>
      <c r="I3" s="4"/>
      <c r="J3" s="4"/>
    </row>
    <row r="4" spans="1:10" ht="13" thickBot="1" x14ac:dyDescent="0.3">
      <c r="A4" s="35"/>
      <c r="B4" s="35"/>
      <c r="C4" s="36" t="s">
        <v>42</v>
      </c>
      <c r="D4" s="37" t="s">
        <v>43</v>
      </c>
      <c r="E4" s="37" t="s">
        <v>44</v>
      </c>
      <c r="F4" s="37" t="s">
        <v>45</v>
      </c>
      <c r="G4" s="28" t="s">
        <v>46</v>
      </c>
      <c r="H4" s="29"/>
      <c r="I4" s="37" t="s">
        <v>44</v>
      </c>
      <c r="J4" s="36" t="s">
        <v>47</v>
      </c>
    </row>
    <row r="5" spans="1:10" ht="13" thickBot="1" x14ac:dyDescent="0.3">
      <c r="A5" s="30" t="s">
        <v>48</v>
      </c>
      <c r="B5" s="31" t="s">
        <v>49</v>
      </c>
      <c r="C5" s="60" t="s">
        <v>50</v>
      </c>
      <c r="D5" s="31" t="s">
        <v>51</v>
      </c>
      <c r="E5" s="60" t="s">
        <v>52</v>
      </c>
      <c r="F5" s="32" t="s">
        <v>53</v>
      </c>
      <c r="G5" s="31" t="s">
        <v>54</v>
      </c>
      <c r="H5" s="32" t="s">
        <v>55</v>
      </c>
      <c r="I5" s="31" t="s">
        <v>56</v>
      </c>
      <c r="J5" s="31" t="s">
        <v>57</v>
      </c>
    </row>
    <row r="6" spans="1:10" x14ac:dyDescent="0.25">
      <c r="A6" s="76" t="s">
        <v>58</v>
      </c>
      <c r="B6" s="174">
        <v>0.85</v>
      </c>
      <c r="C6" s="149">
        <v>0.61</v>
      </c>
      <c r="D6" s="148">
        <v>56</v>
      </c>
      <c r="E6" s="152">
        <v>5.6425000000000001</v>
      </c>
      <c r="F6" s="61">
        <f>C6*B6</f>
        <v>0.51849999999999996</v>
      </c>
      <c r="G6" s="55">
        <f>$G$18*C6</f>
        <v>13.3224</v>
      </c>
      <c r="H6" s="55">
        <f t="shared" ref="H6:H17" si="0">(G6/B6)</f>
        <v>15.673411764705882</v>
      </c>
      <c r="I6" s="58">
        <f>(E6/D6)/B6</f>
        <v>0.11853991596638655</v>
      </c>
      <c r="J6" s="58">
        <f>(I6*C6)</f>
        <v>7.2309348739495793E-2</v>
      </c>
    </row>
    <row r="7" spans="1:10" x14ac:dyDescent="0.25">
      <c r="A7" s="76" t="s">
        <v>59</v>
      </c>
      <c r="B7" s="174">
        <v>1</v>
      </c>
      <c r="C7" s="149">
        <v>0</v>
      </c>
      <c r="D7" s="148">
        <v>1</v>
      </c>
      <c r="E7" s="152">
        <v>0</v>
      </c>
      <c r="F7" s="61">
        <f t="shared" ref="F7:F17" si="1">C7*B7</f>
        <v>0</v>
      </c>
      <c r="G7" s="55">
        <f t="shared" ref="G7:G17" si="2">$G$18*C7</f>
        <v>0</v>
      </c>
      <c r="H7" s="55">
        <f t="shared" si="0"/>
        <v>0</v>
      </c>
      <c r="I7" s="58">
        <f t="shared" ref="I7:I17" si="3">(E7/D7)/B7</f>
        <v>0</v>
      </c>
      <c r="J7" s="58">
        <f t="shared" ref="J7:J17" si="4">(I7*C7)</f>
        <v>0</v>
      </c>
    </row>
    <row r="8" spans="1:10" x14ac:dyDescent="0.25">
      <c r="A8" s="76" t="s">
        <v>60</v>
      </c>
      <c r="B8" s="174">
        <v>0.35</v>
      </c>
      <c r="C8" s="149">
        <v>0.2</v>
      </c>
      <c r="D8" s="148">
        <v>2000</v>
      </c>
      <c r="E8" s="152">
        <f>E6*10</f>
        <v>56.424999999999997</v>
      </c>
      <c r="F8" s="61">
        <f t="shared" si="1"/>
        <v>6.9999999999999993E-2</v>
      </c>
      <c r="G8" s="55">
        <f t="shared" si="2"/>
        <v>4.3680000000000003</v>
      </c>
      <c r="H8" s="55">
        <f t="shared" si="0"/>
        <v>12.480000000000002</v>
      </c>
      <c r="I8" s="58">
        <f t="shared" si="3"/>
        <v>8.0607142857142863E-2</v>
      </c>
      <c r="J8" s="58">
        <f t="shared" si="4"/>
        <v>1.6121428571428575E-2</v>
      </c>
    </row>
    <row r="9" spans="1:10" x14ac:dyDescent="0.25">
      <c r="A9" s="76" t="s">
        <v>61</v>
      </c>
      <c r="B9" s="174">
        <v>0.88</v>
      </c>
      <c r="C9" s="149">
        <v>0</v>
      </c>
      <c r="D9" s="148">
        <v>2000</v>
      </c>
      <c r="E9" s="152">
        <v>175</v>
      </c>
      <c r="F9" s="61">
        <f t="shared" si="1"/>
        <v>0</v>
      </c>
      <c r="G9" s="55">
        <f t="shared" si="2"/>
        <v>0</v>
      </c>
      <c r="H9" s="55">
        <f t="shared" si="0"/>
        <v>0</v>
      </c>
      <c r="I9" s="58">
        <f t="shared" si="3"/>
        <v>9.9431818181818177E-2</v>
      </c>
      <c r="J9" s="58">
        <f t="shared" si="4"/>
        <v>0</v>
      </c>
    </row>
    <row r="10" spans="1:10" x14ac:dyDescent="0.25">
      <c r="A10" s="76" t="s">
        <v>62</v>
      </c>
      <c r="B10" s="174">
        <v>0.89</v>
      </c>
      <c r="C10" s="149">
        <v>0</v>
      </c>
      <c r="D10" s="148">
        <v>2000</v>
      </c>
      <c r="E10" s="152">
        <v>423</v>
      </c>
      <c r="F10" s="61">
        <f t="shared" si="1"/>
        <v>0</v>
      </c>
      <c r="G10" s="55">
        <f t="shared" si="2"/>
        <v>0</v>
      </c>
      <c r="H10" s="55">
        <f t="shared" si="0"/>
        <v>0</v>
      </c>
      <c r="I10" s="58">
        <f t="shared" si="3"/>
        <v>0.23764044943820223</v>
      </c>
      <c r="J10" s="58">
        <f t="shared" si="4"/>
        <v>0</v>
      </c>
    </row>
    <row r="11" spans="1:10" x14ac:dyDescent="0.25">
      <c r="A11" s="76" t="s">
        <v>63</v>
      </c>
      <c r="B11" s="174">
        <v>1</v>
      </c>
      <c r="C11" s="149">
        <v>0</v>
      </c>
      <c r="D11" s="148">
        <v>2000</v>
      </c>
      <c r="E11" s="152">
        <v>335</v>
      </c>
      <c r="F11" s="61">
        <f t="shared" si="1"/>
        <v>0</v>
      </c>
      <c r="G11" s="55">
        <f t="shared" si="2"/>
        <v>0</v>
      </c>
      <c r="H11" s="55">
        <f t="shared" si="0"/>
        <v>0</v>
      </c>
      <c r="I11" s="58">
        <f t="shared" si="3"/>
        <v>0.16750000000000001</v>
      </c>
      <c r="J11" s="58">
        <f t="shared" si="4"/>
        <v>0</v>
      </c>
    </row>
    <row r="12" spans="1:10" x14ac:dyDescent="0.25">
      <c r="A12" s="76" t="s">
        <v>64</v>
      </c>
      <c r="B12" s="174">
        <v>1</v>
      </c>
      <c r="C12" s="149">
        <v>0</v>
      </c>
      <c r="D12" s="148">
        <v>2000</v>
      </c>
      <c r="E12" s="152">
        <v>800</v>
      </c>
      <c r="F12" s="61">
        <f t="shared" si="1"/>
        <v>0</v>
      </c>
      <c r="G12" s="55">
        <f t="shared" si="2"/>
        <v>0</v>
      </c>
      <c r="H12" s="55">
        <f t="shared" si="0"/>
        <v>0</v>
      </c>
      <c r="I12" s="58">
        <f t="shared" si="3"/>
        <v>0.4</v>
      </c>
      <c r="J12" s="58">
        <f t="shared" si="4"/>
        <v>0</v>
      </c>
    </row>
    <row r="13" spans="1:10" x14ac:dyDescent="0.25">
      <c r="A13" s="76" t="s">
        <v>65</v>
      </c>
      <c r="B13" s="174">
        <v>1</v>
      </c>
      <c r="C13" s="149">
        <v>0</v>
      </c>
      <c r="D13" s="148">
        <v>2000</v>
      </c>
      <c r="E13" s="152">
        <v>1500</v>
      </c>
      <c r="F13" s="61">
        <f t="shared" si="1"/>
        <v>0</v>
      </c>
      <c r="G13" s="55">
        <f t="shared" si="2"/>
        <v>0</v>
      </c>
      <c r="H13" s="55">
        <f t="shared" si="0"/>
        <v>0</v>
      </c>
      <c r="I13" s="58">
        <f t="shared" si="3"/>
        <v>0.75</v>
      </c>
      <c r="J13" s="58">
        <f t="shared" si="4"/>
        <v>0</v>
      </c>
    </row>
    <row r="14" spans="1:10" x14ac:dyDescent="0.25">
      <c r="A14" s="76" t="s">
        <v>66</v>
      </c>
      <c r="B14" s="174">
        <v>1</v>
      </c>
      <c r="C14" s="149">
        <v>0</v>
      </c>
      <c r="D14" s="148">
        <v>2000</v>
      </c>
      <c r="E14" s="152">
        <v>1400</v>
      </c>
      <c r="F14" s="61">
        <f t="shared" si="1"/>
        <v>0</v>
      </c>
      <c r="G14" s="55">
        <f t="shared" si="2"/>
        <v>0</v>
      </c>
      <c r="H14" s="55">
        <f t="shared" si="0"/>
        <v>0</v>
      </c>
      <c r="I14" s="58">
        <f t="shared" si="3"/>
        <v>0.7</v>
      </c>
      <c r="J14" s="58">
        <f t="shared" si="4"/>
        <v>0</v>
      </c>
    </row>
    <row r="15" spans="1:10" x14ac:dyDescent="0.25">
      <c r="A15" s="76" t="s">
        <v>86</v>
      </c>
      <c r="B15" s="175">
        <v>0.9</v>
      </c>
      <c r="C15" s="176">
        <v>0.15</v>
      </c>
      <c r="D15" s="143">
        <v>2000</v>
      </c>
      <c r="E15" s="150">
        <v>207.5</v>
      </c>
      <c r="F15" s="65">
        <f t="shared" si="1"/>
        <v>0.13500000000000001</v>
      </c>
      <c r="G15" s="55">
        <f t="shared" si="2"/>
        <v>3.2759999999999998</v>
      </c>
      <c r="H15" s="66">
        <f t="shared" si="0"/>
        <v>3.6399999999999997</v>
      </c>
      <c r="I15" s="67">
        <f t="shared" si="3"/>
        <v>0.11527777777777777</v>
      </c>
      <c r="J15" s="67">
        <f t="shared" si="4"/>
        <v>1.7291666666666664E-2</v>
      </c>
    </row>
    <row r="16" spans="1:10" x14ac:dyDescent="0.25">
      <c r="A16" s="91" t="s">
        <v>90</v>
      </c>
      <c r="B16" s="175">
        <v>1</v>
      </c>
      <c r="C16" s="176">
        <v>0.04</v>
      </c>
      <c r="D16" s="143">
        <v>2000</v>
      </c>
      <c r="E16" s="150">
        <v>800</v>
      </c>
      <c r="F16" s="65">
        <f t="shared" si="1"/>
        <v>0.04</v>
      </c>
      <c r="G16" s="55">
        <f t="shared" si="2"/>
        <v>0.87360000000000004</v>
      </c>
      <c r="H16" s="66">
        <f t="shared" si="0"/>
        <v>0.87360000000000004</v>
      </c>
      <c r="I16" s="67">
        <f t="shared" si="3"/>
        <v>0.4</v>
      </c>
      <c r="J16" s="67">
        <f t="shared" si="4"/>
        <v>1.6E-2</v>
      </c>
    </row>
    <row r="17" spans="1:11" ht="13" thickBot="1" x14ac:dyDescent="0.3">
      <c r="A17" s="78" t="s">
        <v>67</v>
      </c>
      <c r="B17" s="177">
        <v>1</v>
      </c>
      <c r="C17" s="178">
        <v>0</v>
      </c>
      <c r="D17" s="179">
        <v>1</v>
      </c>
      <c r="E17" s="180">
        <v>0</v>
      </c>
      <c r="F17" s="62">
        <f t="shared" si="1"/>
        <v>0</v>
      </c>
      <c r="G17" s="55">
        <f t="shared" si="2"/>
        <v>0</v>
      </c>
      <c r="H17" s="56">
        <f t="shared" si="0"/>
        <v>0</v>
      </c>
      <c r="I17" s="59">
        <f t="shared" si="3"/>
        <v>0</v>
      </c>
      <c r="J17" s="59">
        <f t="shared" si="4"/>
        <v>0</v>
      </c>
    </row>
    <row r="18" spans="1:11" ht="13" thickTop="1" x14ac:dyDescent="0.25">
      <c r="A18" s="8" t="s">
        <v>68</v>
      </c>
      <c r="B18" s="10"/>
      <c r="C18" s="34">
        <f>SUM(C6:C17)</f>
        <v>1</v>
      </c>
      <c r="F18" s="181">
        <f>SUM(F6:F17)</f>
        <v>0.76349999999999996</v>
      </c>
      <c r="G18" s="57">
        <f>'Feedlot Budget'!E16*'Feedlot Budget'!E17</f>
        <v>21.84</v>
      </c>
      <c r="H18" s="57">
        <f>SUM(H6:H17)</f>
        <v>32.66701176470589</v>
      </c>
      <c r="I18" s="9"/>
      <c r="J18" s="13">
        <f>SUM(J6:J17)</f>
        <v>0.12172244397759104</v>
      </c>
    </row>
    <row r="19" spans="1:11" x14ac:dyDescent="0.25">
      <c r="A19" s="10"/>
      <c r="B19" s="10"/>
      <c r="C19" s="27" t="str">
        <f>IF(C18&lt;0.998,"Must equal 100%",IF(C18&gt;1.002,"Must equal 100%"," "))</f>
        <v xml:space="preserve"> </v>
      </c>
      <c r="D19" s="11"/>
      <c r="E19" s="11"/>
      <c r="F19" s="11"/>
      <c r="G19" s="10"/>
      <c r="H19" s="9"/>
      <c r="I19" s="9"/>
      <c r="J19" s="10"/>
      <c r="K19" s="12"/>
    </row>
    <row r="20" spans="1:11" x14ac:dyDescent="0.25">
      <c r="A20" s="8" t="s">
        <v>69</v>
      </c>
      <c r="B20" s="40">
        <f>F18</f>
        <v>0.76349999999999996</v>
      </c>
      <c r="D20" s="10"/>
      <c r="E20" s="10"/>
      <c r="F20" s="10"/>
      <c r="G20" s="10"/>
      <c r="H20" s="9"/>
      <c r="I20" s="10"/>
      <c r="J20" s="9"/>
      <c r="K20" s="10"/>
    </row>
    <row r="21" spans="1:11" x14ac:dyDescent="0.25">
      <c r="A21" s="8" t="s">
        <v>70</v>
      </c>
      <c r="B21" s="41">
        <f>J18*2000</f>
        <v>243.44488795518208</v>
      </c>
      <c r="D21" s="10"/>
      <c r="E21" s="10"/>
      <c r="F21" s="10"/>
      <c r="G21" s="10"/>
      <c r="H21" s="9"/>
      <c r="I21" s="10"/>
      <c r="J21" s="9"/>
      <c r="K21" s="10"/>
    </row>
    <row r="22" spans="1:11" x14ac:dyDescent="0.25">
      <c r="A22" s="8" t="s">
        <v>71</v>
      </c>
      <c r="B22" s="41">
        <f>J18*2000*B20</f>
        <v>185.87017195378152</v>
      </c>
    </row>
    <row r="25" spans="1:11" ht="13.5" thickBot="1" x14ac:dyDescent="0.35">
      <c r="A25" s="68" t="s">
        <v>72</v>
      </c>
      <c r="B25" s="33"/>
      <c r="C25" s="33"/>
      <c r="D25" s="33"/>
    </row>
    <row r="26" spans="1:11" ht="13" thickTop="1" x14ac:dyDescent="0.25">
      <c r="B26" s="38" t="s">
        <v>161</v>
      </c>
      <c r="C26" s="4"/>
      <c r="D26" s="39"/>
    </row>
    <row r="27" spans="1:11" x14ac:dyDescent="0.25">
      <c r="B27" s="26" t="s">
        <v>73</v>
      </c>
      <c r="C27" s="26" t="s">
        <v>74</v>
      </c>
      <c r="D27" s="26" t="s">
        <v>75</v>
      </c>
    </row>
    <row r="28" spans="1:11" ht="13" thickBot="1" x14ac:dyDescent="0.3">
      <c r="A28" s="30" t="s">
        <v>48</v>
      </c>
      <c r="B28" s="31" t="s">
        <v>76</v>
      </c>
      <c r="C28" s="31" t="s">
        <v>76</v>
      </c>
      <c r="D28" s="31" t="s">
        <v>22</v>
      </c>
    </row>
    <row r="29" spans="1:11" x14ac:dyDescent="0.25">
      <c r="A29" s="79" t="str">
        <f t="array" ref="A29:A40">'Feedlot feed-Beef Finisher'!$A$6:$A$17</f>
        <v>Corn</v>
      </c>
      <c r="B29" s="72">
        <v>1.02</v>
      </c>
      <c r="C29" s="72">
        <v>0.7</v>
      </c>
      <c r="D29" s="72">
        <v>9</v>
      </c>
    </row>
    <row r="30" spans="1:11" x14ac:dyDescent="0.25">
      <c r="A30" s="79" t="str">
        <v>By-prod</v>
      </c>
      <c r="B30" s="72"/>
      <c r="C30" s="72"/>
      <c r="D30" s="72"/>
    </row>
    <row r="31" spans="1:11" x14ac:dyDescent="0.25">
      <c r="A31" s="79" t="str">
        <v>Corn silage</v>
      </c>
      <c r="B31" s="72">
        <v>0.77</v>
      </c>
      <c r="C31" s="72">
        <v>0.49</v>
      </c>
      <c r="D31" s="72">
        <v>8.65</v>
      </c>
    </row>
    <row r="32" spans="1:11" x14ac:dyDescent="0.25">
      <c r="A32" s="79" t="str">
        <v>Hay</v>
      </c>
      <c r="B32" s="72">
        <v>0.54</v>
      </c>
      <c r="C32" s="72">
        <v>0.28000000000000003</v>
      </c>
      <c r="D32" s="72">
        <v>16</v>
      </c>
    </row>
    <row r="33" spans="1:4" x14ac:dyDescent="0.25">
      <c r="A33" s="79" t="str">
        <v>SBM</v>
      </c>
      <c r="B33" s="72">
        <v>0.93</v>
      </c>
      <c r="C33" s="72">
        <v>0.64</v>
      </c>
      <c r="D33" s="72">
        <v>49.9</v>
      </c>
    </row>
    <row r="34" spans="1:4" x14ac:dyDescent="0.25">
      <c r="A34" s="79" t="str">
        <v>Urea</v>
      </c>
      <c r="B34" s="72">
        <v>0</v>
      </c>
      <c r="C34" s="72">
        <v>0</v>
      </c>
      <c r="D34" s="72">
        <v>291</v>
      </c>
    </row>
    <row r="35" spans="1:4" x14ac:dyDescent="0.25">
      <c r="A35" s="79" t="str">
        <v>Macro-minerals</v>
      </c>
      <c r="B35" s="72">
        <v>0</v>
      </c>
      <c r="C35" s="72">
        <v>0</v>
      </c>
      <c r="D35" s="72">
        <v>0</v>
      </c>
    </row>
    <row r="36" spans="1:4" x14ac:dyDescent="0.25">
      <c r="A36" s="79" t="str">
        <v>Vitamin-trace minerals</v>
      </c>
      <c r="B36" s="72">
        <v>0</v>
      </c>
      <c r="C36" s="72">
        <v>0</v>
      </c>
      <c r="D36" s="72">
        <v>0</v>
      </c>
    </row>
    <row r="37" spans="1:4" x14ac:dyDescent="0.25">
      <c r="A37" s="79" t="str">
        <v>Ionophore</v>
      </c>
      <c r="B37" s="72">
        <v>0</v>
      </c>
      <c r="C37" s="72">
        <v>0</v>
      </c>
      <c r="D37" s="72">
        <v>0</v>
      </c>
    </row>
    <row r="38" spans="1:4" x14ac:dyDescent="0.25">
      <c r="A38" s="79" t="str">
        <v>DDGS</v>
      </c>
      <c r="B38" s="73">
        <v>0.96</v>
      </c>
      <c r="C38" s="73">
        <v>0.68</v>
      </c>
      <c r="D38" s="73">
        <v>30</v>
      </c>
    </row>
    <row r="39" spans="1:4" x14ac:dyDescent="0.25">
      <c r="A39" s="79" t="str">
        <v>Supplement &amp; Limestone</v>
      </c>
      <c r="B39" s="73"/>
      <c r="C39" s="73"/>
      <c r="D39" s="73">
        <v>35</v>
      </c>
    </row>
    <row r="40" spans="1:4" ht="13" thickBot="1" x14ac:dyDescent="0.3">
      <c r="A40" s="79" t="str">
        <v xml:space="preserve">Other </v>
      </c>
      <c r="B40" s="74"/>
      <c r="C40" s="74"/>
      <c r="D40" s="74"/>
    </row>
    <row r="41" spans="1:4" ht="13" thickTop="1" x14ac:dyDescent="0.25">
      <c r="A41" s="8" t="s">
        <v>68</v>
      </c>
      <c r="B41" s="57">
        <f>(B29*C6)+(B30*C7)+(B31*C8)+(B32*C9)+(B33*C10)+(B34*C11)+(B35*C12)+(B36*C13)+(B37*C14)+(B38*C15)+(B39*C16)+(B40*C17)</f>
        <v>0.92020000000000002</v>
      </c>
      <c r="C41" s="57">
        <f>(C29*C6)+(C30*C7)+(C31*C8)+(C32*C9)+(C33*C10)+(C34*C11)+(C35*C12)+(C36*C13)+(C37*C14)+(C38*C15)+(C39*C16)+(C40*C17)</f>
        <v>0.627</v>
      </c>
      <c r="D41" s="57">
        <f>(D29*C6)+(D30*C7)+(D31*C8)+(D32*C9)+(D33*C10)+(D34*C11)+(D35*C12)+(D36*C13)+(D37*C14)+(D38*C15)+(D39*C16)+(D40*C17)</f>
        <v>13.120000000000001</v>
      </c>
    </row>
  </sheetData>
  <sheetProtection sheet="1" objects="1" scenarios="1"/>
  <mergeCells count="1">
    <mergeCell ref="A3:B3"/>
  </mergeCells>
  <printOptions gridLines="1" gridLinesSet="0"/>
  <pageMargins left="0.75" right="0.75" top="1" bottom="1" header="0.5" footer="0.5"/>
  <pageSetup scale="94" orientation="portrait" horizontalDpi="4294967292" r:id="rId1"/>
  <headerFooter alignWithMargins="0">
    <oddHeader>&amp;A</oddHeader>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41"/>
  <sheetViews>
    <sheetView zoomScaleNormal="100" workbookViewId="0">
      <selection activeCell="E6" sqref="E6"/>
    </sheetView>
  </sheetViews>
  <sheetFormatPr defaultRowHeight="12.5" x14ac:dyDescent="0.25"/>
  <cols>
    <col min="1" max="1" width="19.08984375" customWidth="1"/>
    <col min="2" max="2" width="8.36328125" customWidth="1"/>
    <col min="3" max="3" width="9.81640625" customWidth="1"/>
    <col min="4" max="4" width="8.36328125" customWidth="1"/>
    <col min="5" max="5" width="12.26953125" customWidth="1"/>
    <col min="6" max="6" width="7.36328125" customWidth="1"/>
    <col min="7" max="7" width="6.26953125" customWidth="1"/>
    <col min="8" max="8" width="6.7265625" customWidth="1"/>
    <col min="9" max="10" width="8.26953125" customWidth="1"/>
  </cols>
  <sheetData>
    <row r="1" spans="1:10" ht="18" x14ac:dyDescent="0.4">
      <c r="A1" s="75" t="s">
        <v>157</v>
      </c>
    </row>
    <row r="2" spans="1:10" ht="13.5" thickBot="1" x14ac:dyDescent="0.35">
      <c r="A2" s="54" t="s">
        <v>40</v>
      </c>
      <c r="B2" s="83"/>
      <c r="C2" s="83"/>
      <c r="D2" s="83"/>
      <c r="E2" s="83"/>
      <c r="F2" s="83"/>
      <c r="G2" s="83"/>
      <c r="H2" s="83"/>
      <c r="I2" s="83"/>
      <c r="J2" s="83"/>
    </row>
    <row r="3" spans="1:10" ht="27.75" customHeight="1" thickTop="1" x14ac:dyDescent="0.25">
      <c r="A3" s="253" t="s">
        <v>160</v>
      </c>
      <c r="B3" s="253"/>
      <c r="C3" s="64" t="s">
        <v>41</v>
      </c>
      <c r="G3" s="4"/>
      <c r="H3" s="4"/>
      <c r="I3" s="4"/>
      <c r="J3" s="4"/>
    </row>
    <row r="4" spans="1:10" ht="13" thickBot="1" x14ac:dyDescent="0.3">
      <c r="A4" s="35"/>
      <c r="B4" s="35"/>
      <c r="C4" s="36" t="s">
        <v>42</v>
      </c>
      <c r="D4" s="37" t="s">
        <v>43</v>
      </c>
      <c r="E4" s="37" t="s">
        <v>44</v>
      </c>
      <c r="F4" s="37" t="s">
        <v>45</v>
      </c>
      <c r="G4" s="28" t="s">
        <v>46</v>
      </c>
      <c r="H4" s="29"/>
      <c r="I4" s="37" t="s">
        <v>44</v>
      </c>
      <c r="J4" s="36" t="s">
        <v>47</v>
      </c>
    </row>
    <row r="5" spans="1:10" ht="13" thickBot="1" x14ac:dyDescent="0.3">
      <c r="A5" s="84" t="s">
        <v>48</v>
      </c>
      <c r="B5" s="31" t="s">
        <v>49</v>
      </c>
      <c r="C5" s="85" t="s">
        <v>50</v>
      </c>
      <c r="D5" s="31" t="s">
        <v>51</v>
      </c>
      <c r="E5" s="85" t="s">
        <v>52</v>
      </c>
      <c r="F5" s="32" t="s">
        <v>53</v>
      </c>
      <c r="G5" s="31" t="s">
        <v>54</v>
      </c>
      <c r="H5" s="32" t="s">
        <v>55</v>
      </c>
      <c r="I5" s="31" t="s">
        <v>56</v>
      </c>
      <c r="J5" s="31" t="s">
        <v>57</v>
      </c>
    </row>
    <row r="6" spans="1:10" x14ac:dyDescent="0.25">
      <c r="A6" s="86" t="s">
        <v>58</v>
      </c>
      <c r="B6" s="174">
        <v>0.85</v>
      </c>
      <c r="C6" s="149">
        <v>0.36</v>
      </c>
      <c r="D6" s="148">
        <v>56</v>
      </c>
      <c r="E6" s="152">
        <f>'Feedlot feed-Beef Finisher'!E6</f>
        <v>5.6425000000000001</v>
      </c>
      <c r="F6" s="61">
        <f t="shared" ref="F6:F17" si="0">C6*B6</f>
        <v>0.30599999999999999</v>
      </c>
      <c r="G6" s="87">
        <f>$G$18*C6</f>
        <v>7.9559999999999986</v>
      </c>
      <c r="H6" s="87">
        <f t="shared" ref="H6:H17" si="1">(G6/B6)</f>
        <v>9.36</v>
      </c>
      <c r="I6" s="88">
        <f>(E6/D6)/B6</f>
        <v>0.11853991596638655</v>
      </c>
      <c r="J6" s="88">
        <f>(I6*C6)</f>
        <v>4.2674369747899156E-2</v>
      </c>
    </row>
    <row r="7" spans="1:10" x14ac:dyDescent="0.25">
      <c r="A7" s="86" t="s">
        <v>59</v>
      </c>
      <c r="B7" s="174">
        <v>1</v>
      </c>
      <c r="C7" s="149">
        <v>0</v>
      </c>
      <c r="D7" s="148">
        <v>1</v>
      </c>
      <c r="E7" s="152">
        <f>'Feedlot feed-Beef Finisher'!E7</f>
        <v>0</v>
      </c>
      <c r="F7" s="61">
        <f t="shared" si="0"/>
        <v>0</v>
      </c>
      <c r="G7" s="87">
        <f t="shared" ref="G7:G17" si="2">$G$18*C7</f>
        <v>0</v>
      </c>
      <c r="H7" s="87">
        <f t="shared" si="1"/>
        <v>0</v>
      </c>
      <c r="I7" s="88">
        <f t="shared" ref="I7:I17" si="3">(E7/D7)/B7</f>
        <v>0</v>
      </c>
      <c r="J7" s="88">
        <f t="shared" ref="J7:J17" si="4">(I7*C7)</f>
        <v>0</v>
      </c>
    </row>
    <row r="8" spans="1:10" x14ac:dyDescent="0.25">
      <c r="A8" s="86" t="s">
        <v>60</v>
      </c>
      <c r="B8" s="174">
        <v>0.35</v>
      </c>
      <c r="C8" s="149">
        <v>0.35</v>
      </c>
      <c r="D8" s="148">
        <v>2000</v>
      </c>
      <c r="E8" s="152">
        <f>'Feedlot feed-Beef Finisher'!E8</f>
        <v>56.424999999999997</v>
      </c>
      <c r="F8" s="61">
        <f t="shared" si="0"/>
        <v>0.12249999999999998</v>
      </c>
      <c r="G8" s="87">
        <f t="shared" si="2"/>
        <v>7.7349999999999985</v>
      </c>
      <c r="H8" s="87">
        <f t="shared" si="1"/>
        <v>22.099999999999998</v>
      </c>
      <c r="I8" s="88">
        <f t="shared" si="3"/>
        <v>8.0607142857142863E-2</v>
      </c>
      <c r="J8" s="88">
        <f t="shared" si="4"/>
        <v>2.8212500000000001E-2</v>
      </c>
    </row>
    <row r="9" spans="1:10" x14ac:dyDescent="0.25">
      <c r="A9" s="86" t="s">
        <v>61</v>
      </c>
      <c r="B9" s="174">
        <v>0.88</v>
      </c>
      <c r="C9" s="149">
        <v>0</v>
      </c>
      <c r="D9" s="148">
        <v>2000</v>
      </c>
      <c r="E9" s="152">
        <f>'Feedlot feed-Beef Finisher'!E9</f>
        <v>175</v>
      </c>
      <c r="F9" s="61">
        <f t="shared" si="0"/>
        <v>0</v>
      </c>
      <c r="G9" s="87">
        <f t="shared" si="2"/>
        <v>0</v>
      </c>
      <c r="H9" s="87">
        <f t="shared" si="1"/>
        <v>0</v>
      </c>
      <c r="I9" s="88">
        <f t="shared" si="3"/>
        <v>9.9431818181818177E-2</v>
      </c>
      <c r="J9" s="88">
        <f t="shared" si="4"/>
        <v>0</v>
      </c>
    </row>
    <row r="10" spans="1:10" x14ac:dyDescent="0.25">
      <c r="A10" s="86" t="s">
        <v>62</v>
      </c>
      <c r="B10" s="174">
        <v>0.89</v>
      </c>
      <c r="C10" s="149">
        <v>0</v>
      </c>
      <c r="D10" s="148">
        <v>2000</v>
      </c>
      <c r="E10" s="152">
        <f>'Feedlot feed-Beef Finisher'!E10</f>
        <v>423</v>
      </c>
      <c r="F10" s="61">
        <f t="shared" si="0"/>
        <v>0</v>
      </c>
      <c r="G10" s="87">
        <f t="shared" si="2"/>
        <v>0</v>
      </c>
      <c r="H10" s="87">
        <f t="shared" si="1"/>
        <v>0</v>
      </c>
      <c r="I10" s="88">
        <f t="shared" si="3"/>
        <v>0.23764044943820223</v>
      </c>
      <c r="J10" s="88">
        <f t="shared" si="4"/>
        <v>0</v>
      </c>
    </row>
    <row r="11" spans="1:10" x14ac:dyDescent="0.25">
      <c r="A11" s="86" t="s">
        <v>63</v>
      </c>
      <c r="B11" s="174">
        <v>1</v>
      </c>
      <c r="C11" s="149">
        <v>0</v>
      </c>
      <c r="D11" s="148">
        <v>2000</v>
      </c>
      <c r="E11" s="152">
        <f>'Feedlot feed-Beef Finisher'!E11</f>
        <v>335</v>
      </c>
      <c r="F11" s="61">
        <f t="shared" si="0"/>
        <v>0</v>
      </c>
      <c r="G11" s="87">
        <f t="shared" si="2"/>
        <v>0</v>
      </c>
      <c r="H11" s="87">
        <f t="shared" si="1"/>
        <v>0</v>
      </c>
      <c r="I11" s="88">
        <f t="shared" si="3"/>
        <v>0.16750000000000001</v>
      </c>
      <c r="J11" s="88">
        <f t="shared" si="4"/>
        <v>0</v>
      </c>
    </row>
    <row r="12" spans="1:10" x14ac:dyDescent="0.25">
      <c r="A12" s="86" t="s">
        <v>64</v>
      </c>
      <c r="B12" s="174">
        <v>1</v>
      </c>
      <c r="C12" s="149">
        <v>0</v>
      </c>
      <c r="D12" s="148">
        <v>2000</v>
      </c>
      <c r="E12" s="152">
        <f>'Feedlot feed-Beef Finisher'!E12</f>
        <v>800</v>
      </c>
      <c r="F12" s="61">
        <f t="shared" si="0"/>
        <v>0</v>
      </c>
      <c r="G12" s="87">
        <f t="shared" si="2"/>
        <v>0</v>
      </c>
      <c r="H12" s="87">
        <f t="shared" si="1"/>
        <v>0</v>
      </c>
      <c r="I12" s="88">
        <f t="shared" si="3"/>
        <v>0.4</v>
      </c>
      <c r="J12" s="88">
        <f t="shared" si="4"/>
        <v>0</v>
      </c>
    </row>
    <row r="13" spans="1:10" x14ac:dyDescent="0.25">
      <c r="A13" s="86" t="s">
        <v>65</v>
      </c>
      <c r="B13" s="174">
        <v>1</v>
      </c>
      <c r="C13" s="149">
        <v>0</v>
      </c>
      <c r="D13" s="148">
        <v>1</v>
      </c>
      <c r="E13" s="152">
        <f>'Feedlot feed-Beef Finisher'!E13</f>
        <v>1500</v>
      </c>
      <c r="F13" s="61">
        <f t="shared" si="0"/>
        <v>0</v>
      </c>
      <c r="G13" s="87">
        <f t="shared" si="2"/>
        <v>0</v>
      </c>
      <c r="H13" s="87">
        <f t="shared" si="1"/>
        <v>0</v>
      </c>
      <c r="I13" s="88">
        <f t="shared" si="3"/>
        <v>1500</v>
      </c>
      <c r="J13" s="88">
        <f t="shared" si="4"/>
        <v>0</v>
      </c>
    </row>
    <row r="14" spans="1:10" x14ac:dyDescent="0.25">
      <c r="A14" s="86" t="s">
        <v>66</v>
      </c>
      <c r="B14" s="174">
        <v>1</v>
      </c>
      <c r="C14" s="149">
        <v>0</v>
      </c>
      <c r="D14" s="148">
        <v>1</v>
      </c>
      <c r="E14" s="152">
        <f>'Feedlot feed-Beef Finisher'!E14</f>
        <v>1400</v>
      </c>
      <c r="F14" s="61">
        <f t="shared" si="0"/>
        <v>0</v>
      </c>
      <c r="G14" s="87">
        <f t="shared" si="2"/>
        <v>0</v>
      </c>
      <c r="H14" s="87">
        <f t="shared" si="1"/>
        <v>0</v>
      </c>
      <c r="I14" s="88">
        <f t="shared" si="3"/>
        <v>1400</v>
      </c>
      <c r="J14" s="88">
        <f t="shared" si="4"/>
        <v>0</v>
      </c>
    </row>
    <row r="15" spans="1:10" x14ac:dyDescent="0.25">
      <c r="A15" s="86" t="s">
        <v>86</v>
      </c>
      <c r="B15" s="175">
        <v>0.9</v>
      </c>
      <c r="C15" s="176">
        <v>0.25</v>
      </c>
      <c r="D15" s="143">
        <v>2000</v>
      </c>
      <c r="E15" s="152">
        <f>'Feedlot feed-Beef Finisher'!E15</f>
        <v>207.5</v>
      </c>
      <c r="F15" s="65">
        <f t="shared" si="0"/>
        <v>0.22500000000000001</v>
      </c>
      <c r="G15" s="87">
        <f t="shared" si="2"/>
        <v>5.5249999999999995</v>
      </c>
      <c r="H15" s="89">
        <f t="shared" si="1"/>
        <v>6.1388888888888884</v>
      </c>
      <c r="I15" s="90">
        <f t="shared" si="3"/>
        <v>0.11527777777777777</v>
      </c>
      <c r="J15" s="90">
        <f t="shared" si="4"/>
        <v>2.8819444444444443E-2</v>
      </c>
    </row>
    <row r="16" spans="1:10" x14ac:dyDescent="0.25">
      <c r="A16" s="91" t="s">
        <v>90</v>
      </c>
      <c r="B16" s="175">
        <v>1</v>
      </c>
      <c r="C16" s="176">
        <v>0.04</v>
      </c>
      <c r="D16" s="143">
        <v>2000</v>
      </c>
      <c r="E16" s="152">
        <f>'Feedlot feed-Beef Finisher'!E16</f>
        <v>800</v>
      </c>
      <c r="F16" s="65">
        <f t="shared" si="0"/>
        <v>0.04</v>
      </c>
      <c r="G16" s="87">
        <f t="shared" si="2"/>
        <v>0.8839999999999999</v>
      </c>
      <c r="H16" s="89">
        <f t="shared" si="1"/>
        <v>0.8839999999999999</v>
      </c>
      <c r="I16" s="90">
        <f t="shared" si="3"/>
        <v>0.4</v>
      </c>
      <c r="J16" s="90">
        <f t="shared" si="4"/>
        <v>1.6E-2</v>
      </c>
    </row>
    <row r="17" spans="1:11" ht="13" thickBot="1" x14ac:dyDescent="0.3">
      <c r="A17" s="92" t="s">
        <v>67</v>
      </c>
      <c r="B17" s="177">
        <v>1</v>
      </c>
      <c r="C17" s="178">
        <v>0</v>
      </c>
      <c r="D17" s="179">
        <v>1</v>
      </c>
      <c r="E17" s="183">
        <f>'Feedlot feed-Beef Finisher'!E17</f>
        <v>0</v>
      </c>
      <c r="F17" s="62">
        <f t="shared" si="0"/>
        <v>0</v>
      </c>
      <c r="G17" s="87">
        <f t="shared" si="2"/>
        <v>0</v>
      </c>
      <c r="H17" s="93">
        <f t="shared" si="1"/>
        <v>0</v>
      </c>
      <c r="I17" s="94">
        <f t="shared" si="3"/>
        <v>0</v>
      </c>
      <c r="J17" s="94">
        <f t="shared" si="4"/>
        <v>0</v>
      </c>
    </row>
    <row r="18" spans="1:11" ht="13" thickTop="1" x14ac:dyDescent="0.25">
      <c r="A18" s="95" t="s">
        <v>68</v>
      </c>
      <c r="B18" s="3"/>
      <c r="C18" s="34">
        <f>SUM(C6:C17)</f>
        <v>1</v>
      </c>
      <c r="F18" s="63">
        <f>SUM(F6:F17)</f>
        <v>0.69350000000000001</v>
      </c>
      <c r="G18" s="57">
        <f>[2]Feedlot!E17*[2]Feedlot!E18</f>
        <v>22.099999999999998</v>
      </c>
      <c r="H18" s="57">
        <f>SUM(H6:H17)</f>
        <v>38.482888888888887</v>
      </c>
      <c r="I18" s="3"/>
      <c r="J18" s="13">
        <f>SUM(J6:J17)</f>
        <v>0.11570631419234359</v>
      </c>
    </row>
    <row r="19" spans="1:11" x14ac:dyDescent="0.25">
      <c r="A19" s="3"/>
      <c r="B19" s="3"/>
      <c r="C19" s="27" t="str">
        <f>IF(C18&lt;0.998,"Must equal 100%",IF(C18&gt;1.002,"Must equal 100%"," "))</f>
        <v xml:space="preserve"> </v>
      </c>
      <c r="D19" s="96"/>
      <c r="E19" s="96"/>
      <c r="F19" s="96"/>
      <c r="G19" s="3"/>
      <c r="H19" s="97"/>
      <c r="I19" s="97"/>
      <c r="J19" s="3"/>
      <c r="K19" s="98"/>
    </row>
    <row r="20" spans="1:11" x14ac:dyDescent="0.25">
      <c r="A20" s="95" t="s">
        <v>69</v>
      </c>
      <c r="B20" s="99">
        <f>F18</f>
        <v>0.69350000000000001</v>
      </c>
      <c r="D20" s="3"/>
      <c r="E20" s="3"/>
      <c r="F20" s="3"/>
      <c r="G20" s="3"/>
      <c r="H20" s="97"/>
      <c r="I20" s="3"/>
      <c r="J20" s="97"/>
      <c r="K20" s="3"/>
    </row>
    <row r="21" spans="1:11" x14ac:dyDescent="0.25">
      <c r="A21" s="95" t="s">
        <v>70</v>
      </c>
      <c r="B21" s="100">
        <f>J18*2000</f>
        <v>231.41262838468717</v>
      </c>
      <c r="D21" s="3"/>
      <c r="E21" s="3"/>
      <c r="F21" s="3"/>
      <c r="G21" s="3"/>
      <c r="H21" s="97"/>
      <c r="I21" s="3"/>
      <c r="J21" s="97"/>
      <c r="K21" s="3"/>
    </row>
    <row r="22" spans="1:11" x14ac:dyDescent="0.25">
      <c r="A22" s="95" t="s">
        <v>71</v>
      </c>
      <c r="B22" s="100">
        <f>J18*2000*B20</f>
        <v>160.48465778478055</v>
      </c>
    </row>
    <row r="25" spans="1:11" ht="13.5" thickBot="1" x14ac:dyDescent="0.35">
      <c r="A25" s="68" t="s">
        <v>72</v>
      </c>
      <c r="B25" s="83"/>
      <c r="C25" s="83"/>
      <c r="D25" s="83"/>
    </row>
    <row r="26" spans="1:11" ht="13" thickTop="1" x14ac:dyDescent="0.25">
      <c r="B26" s="38" t="s">
        <v>161</v>
      </c>
      <c r="C26" s="4"/>
      <c r="D26" s="39"/>
    </row>
    <row r="27" spans="1:11" x14ac:dyDescent="0.25">
      <c r="B27" s="26" t="s">
        <v>73</v>
      </c>
      <c r="C27" s="26" t="s">
        <v>74</v>
      </c>
      <c r="D27" s="26" t="s">
        <v>75</v>
      </c>
    </row>
    <row r="28" spans="1:11" ht="13" thickBot="1" x14ac:dyDescent="0.3">
      <c r="A28" s="84" t="s">
        <v>48</v>
      </c>
      <c r="B28" s="31" t="s">
        <v>76</v>
      </c>
      <c r="C28" s="31" t="s">
        <v>76</v>
      </c>
      <c r="D28" s="31" t="s">
        <v>22</v>
      </c>
    </row>
    <row r="29" spans="1:11" x14ac:dyDescent="0.25">
      <c r="A29" s="79" t="str">
        <f t="array" ref="A29:A40">'Feedlot feed- Holstein Grower'!$A$6:$A$17</f>
        <v>Corn</v>
      </c>
      <c r="B29" s="155">
        <v>1.02</v>
      </c>
      <c r="C29" s="155">
        <v>0.7</v>
      </c>
      <c r="D29" s="155">
        <v>9</v>
      </c>
    </row>
    <row r="30" spans="1:11" x14ac:dyDescent="0.25">
      <c r="A30" s="79" t="str">
        <v>By-prod</v>
      </c>
      <c r="B30" s="155"/>
      <c r="C30" s="155"/>
      <c r="D30" s="155"/>
    </row>
    <row r="31" spans="1:11" x14ac:dyDescent="0.25">
      <c r="A31" s="79" t="str">
        <v>Corn silage</v>
      </c>
      <c r="B31" s="155">
        <v>0.77</v>
      </c>
      <c r="C31" s="155">
        <v>0.49</v>
      </c>
      <c r="D31" s="155">
        <v>8.65</v>
      </c>
    </row>
    <row r="32" spans="1:11" x14ac:dyDescent="0.25">
      <c r="A32" s="79" t="str">
        <v>Hay</v>
      </c>
      <c r="B32" s="155">
        <v>0.54</v>
      </c>
      <c r="C32" s="155">
        <v>0.28000000000000003</v>
      </c>
      <c r="D32" s="155">
        <v>16</v>
      </c>
    </row>
    <row r="33" spans="1:4" x14ac:dyDescent="0.25">
      <c r="A33" s="79" t="str">
        <v>SBM</v>
      </c>
      <c r="B33" s="155">
        <v>0.93</v>
      </c>
      <c r="C33" s="155">
        <v>0.64</v>
      </c>
      <c r="D33" s="155">
        <v>49.9</v>
      </c>
    </row>
    <row r="34" spans="1:4" x14ac:dyDescent="0.25">
      <c r="A34" s="79" t="str">
        <v>Urea</v>
      </c>
      <c r="B34" s="155">
        <v>0</v>
      </c>
      <c r="C34" s="155">
        <v>0</v>
      </c>
      <c r="D34" s="155">
        <v>291</v>
      </c>
    </row>
    <row r="35" spans="1:4" x14ac:dyDescent="0.25">
      <c r="A35" s="79" t="str">
        <v>Macro-minerals</v>
      </c>
      <c r="B35" s="155">
        <v>0</v>
      </c>
      <c r="C35" s="155">
        <v>0</v>
      </c>
      <c r="D35" s="155">
        <v>0</v>
      </c>
    </row>
    <row r="36" spans="1:4" x14ac:dyDescent="0.25">
      <c r="A36" s="79" t="str">
        <v>Vitamin-trace minerals</v>
      </c>
      <c r="B36" s="155">
        <v>0</v>
      </c>
      <c r="C36" s="155">
        <v>0</v>
      </c>
      <c r="D36" s="155">
        <v>0</v>
      </c>
    </row>
    <row r="37" spans="1:4" x14ac:dyDescent="0.25">
      <c r="A37" s="79" t="str">
        <v>Ionophore</v>
      </c>
      <c r="B37" s="155">
        <v>0</v>
      </c>
      <c r="C37" s="155">
        <v>0</v>
      </c>
      <c r="D37" s="155">
        <v>0</v>
      </c>
    </row>
    <row r="38" spans="1:4" x14ac:dyDescent="0.25">
      <c r="A38" s="79" t="str">
        <v>DDGS</v>
      </c>
      <c r="B38" s="147">
        <v>0.96</v>
      </c>
      <c r="C38" s="147">
        <v>0.68</v>
      </c>
      <c r="D38" s="147">
        <v>30</v>
      </c>
    </row>
    <row r="39" spans="1:4" x14ac:dyDescent="0.25">
      <c r="A39" s="79" t="str">
        <v>Supplement &amp; Limestone</v>
      </c>
      <c r="B39" s="147"/>
      <c r="C39" s="147"/>
      <c r="D39" s="147">
        <v>35</v>
      </c>
    </row>
    <row r="40" spans="1:4" ht="13" thickBot="1" x14ac:dyDescent="0.3">
      <c r="A40" s="79" t="str">
        <v xml:space="preserve">Other </v>
      </c>
      <c r="B40" s="182"/>
      <c r="C40" s="182"/>
      <c r="D40" s="182"/>
    </row>
    <row r="41" spans="1:4" ht="13" thickTop="1" x14ac:dyDescent="0.25">
      <c r="A41" s="95" t="s">
        <v>68</v>
      </c>
      <c r="B41" s="57">
        <f>(B29*C6)+(B30*C7)+(B31*C8)+(B32*C9)+(B33*C10)+(B34*C11)+(B35*C12)+(B36*C13)+(B37*C14)+(B38*C15)+(B39*C16)+(B40*C17)</f>
        <v>0.87669999999999992</v>
      </c>
      <c r="C41" s="57">
        <f>(C29*C6)+(C30*C7)+(C31*C8)+(C32*C9)+(C33*C10)+(C34*C11)+(C35*C12)+(C36*C13)+(C37*C14)+(C38*C15)+(C39*C16)+(C40*C17)</f>
        <v>0.59350000000000003</v>
      </c>
      <c r="D41" s="57">
        <f>(D29*C6)+(D30*C7)+(D31*C8)+(D32*C9)+(D33*C10)+(D34*C11)+(D35*C12)+(D36*C13)+(D37*C14)+(D38*C15)+(D39*C16)+(D40*C17)</f>
        <v>15.1675</v>
      </c>
    </row>
  </sheetData>
  <sheetProtection sheet="1" objects="1" scenarios="1"/>
  <mergeCells count="1">
    <mergeCell ref="A3:B3"/>
  </mergeCells>
  <printOptions gridLines="1" gridLinesSet="0"/>
  <pageMargins left="0.75" right="0.75" top="1" bottom="1" header="0.5" footer="0.5"/>
  <pageSetup scale="94" orientation="portrait" horizontalDpi="4294967292" r:id="rId1"/>
  <headerFooter alignWithMargins="0">
    <oddHeader>&amp;A</oddHeader>
    <oddFoote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1"/>
  <sheetViews>
    <sheetView zoomScaleNormal="100" workbookViewId="0">
      <selection activeCell="E13" sqref="E13"/>
    </sheetView>
  </sheetViews>
  <sheetFormatPr defaultRowHeight="12.5" x14ac:dyDescent="0.25"/>
  <cols>
    <col min="1" max="1" width="19.08984375" customWidth="1"/>
    <col min="2" max="2" width="8.36328125" customWidth="1"/>
    <col min="3" max="3" width="9.81640625" customWidth="1"/>
    <col min="4" max="4" width="8.36328125" customWidth="1"/>
    <col min="5" max="5" width="12.26953125" customWidth="1"/>
    <col min="6" max="6" width="7.36328125" customWidth="1"/>
    <col min="7" max="7" width="6.26953125" customWidth="1"/>
    <col min="8" max="8" width="6.7265625" customWidth="1"/>
    <col min="9" max="10" width="8.26953125" customWidth="1"/>
  </cols>
  <sheetData>
    <row r="1" spans="1:10" ht="18" x14ac:dyDescent="0.4">
      <c r="A1" s="75" t="s">
        <v>158</v>
      </c>
    </row>
    <row r="2" spans="1:10" ht="13.5" thickBot="1" x14ac:dyDescent="0.35">
      <c r="A2" s="54" t="s">
        <v>40</v>
      </c>
      <c r="B2" s="33"/>
      <c r="C2" s="33"/>
      <c r="D2" s="33"/>
      <c r="E2" s="33"/>
      <c r="F2" s="33"/>
      <c r="G2" s="33"/>
      <c r="H2" s="33"/>
      <c r="I2" s="33"/>
      <c r="J2" s="33"/>
    </row>
    <row r="3" spans="1:10" ht="25.9" customHeight="1" thickTop="1" x14ac:dyDescent="0.25">
      <c r="A3" s="253" t="s">
        <v>160</v>
      </c>
      <c r="B3" s="253"/>
      <c r="C3" s="64" t="s">
        <v>41</v>
      </c>
      <c r="G3" s="4"/>
      <c r="H3" s="4"/>
      <c r="I3" s="4"/>
      <c r="J3" s="4"/>
    </row>
    <row r="4" spans="1:10" ht="13" thickBot="1" x14ac:dyDescent="0.3">
      <c r="A4" s="35"/>
      <c r="B4" s="35"/>
      <c r="C4" s="36" t="s">
        <v>42</v>
      </c>
      <c r="D4" s="37" t="s">
        <v>43</v>
      </c>
      <c r="E4" s="37" t="s">
        <v>44</v>
      </c>
      <c r="F4" s="37" t="s">
        <v>45</v>
      </c>
      <c r="G4" s="28" t="s">
        <v>46</v>
      </c>
      <c r="H4" s="29"/>
      <c r="I4" s="37" t="s">
        <v>44</v>
      </c>
      <c r="J4" s="36" t="s">
        <v>47</v>
      </c>
    </row>
    <row r="5" spans="1:10" ht="13" thickBot="1" x14ac:dyDescent="0.3">
      <c r="A5" s="30" t="s">
        <v>48</v>
      </c>
      <c r="B5" s="31" t="s">
        <v>49</v>
      </c>
      <c r="C5" s="60" t="s">
        <v>50</v>
      </c>
      <c r="D5" s="31" t="s">
        <v>51</v>
      </c>
      <c r="E5" s="60" t="s">
        <v>52</v>
      </c>
      <c r="F5" s="32" t="s">
        <v>53</v>
      </c>
      <c r="G5" s="31" t="s">
        <v>54</v>
      </c>
      <c r="H5" s="32" t="s">
        <v>55</v>
      </c>
      <c r="I5" s="31" t="s">
        <v>56</v>
      </c>
      <c r="J5" s="31" t="s">
        <v>57</v>
      </c>
    </row>
    <row r="6" spans="1:10" x14ac:dyDescent="0.25">
      <c r="A6" s="86" t="s">
        <v>58</v>
      </c>
      <c r="B6" s="174">
        <v>0.85</v>
      </c>
      <c r="C6" s="149">
        <v>0.61</v>
      </c>
      <c r="D6" s="148">
        <v>56</v>
      </c>
      <c r="E6" s="152">
        <f>'Feedlot feed-Beef Finisher'!E6</f>
        <v>5.6425000000000001</v>
      </c>
      <c r="F6" s="61">
        <f>C6*B6</f>
        <v>0.51849999999999996</v>
      </c>
      <c r="G6" s="55">
        <f>$G$18*C6</f>
        <v>13.3224</v>
      </c>
      <c r="H6" s="55">
        <f t="shared" ref="H6:H17" si="0">(G6/B6)</f>
        <v>15.673411764705882</v>
      </c>
      <c r="I6" s="58">
        <f>(E6/D6)/B6</f>
        <v>0.11853991596638655</v>
      </c>
      <c r="J6" s="58">
        <f>(I6*C6)</f>
        <v>7.2309348739495793E-2</v>
      </c>
    </row>
    <row r="7" spans="1:10" x14ac:dyDescent="0.25">
      <c r="A7" s="76" t="s">
        <v>59</v>
      </c>
      <c r="B7" s="174">
        <v>1</v>
      </c>
      <c r="C7" s="149">
        <v>0</v>
      </c>
      <c r="D7" s="148">
        <v>1</v>
      </c>
      <c r="E7" s="152">
        <f>'Feedlot feed-Beef Finisher'!E7</f>
        <v>0</v>
      </c>
      <c r="F7" s="61">
        <f t="shared" ref="F7:F17" si="1">C7*B7</f>
        <v>0</v>
      </c>
      <c r="G7" s="55">
        <f t="shared" ref="G7:G17" si="2">$G$18*C7</f>
        <v>0</v>
      </c>
      <c r="H7" s="55">
        <f t="shared" si="0"/>
        <v>0</v>
      </c>
      <c r="I7" s="58">
        <f t="shared" ref="I7:I17" si="3">(E7/D7)/B7</f>
        <v>0</v>
      </c>
      <c r="J7" s="58">
        <f t="shared" ref="J7:J17" si="4">(I7*C7)</f>
        <v>0</v>
      </c>
    </row>
    <row r="8" spans="1:10" x14ac:dyDescent="0.25">
      <c r="A8" s="76" t="s">
        <v>60</v>
      </c>
      <c r="B8" s="174">
        <v>0.35</v>
      </c>
      <c r="C8" s="149">
        <v>0.2</v>
      </c>
      <c r="D8" s="148">
        <v>2000</v>
      </c>
      <c r="E8" s="152">
        <f>'Feedlot feed-Beef Finisher'!E8</f>
        <v>56.424999999999997</v>
      </c>
      <c r="F8" s="61">
        <f t="shared" si="1"/>
        <v>6.9999999999999993E-2</v>
      </c>
      <c r="G8" s="55">
        <f t="shared" si="2"/>
        <v>4.3680000000000003</v>
      </c>
      <c r="H8" s="55">
        <f t="shared" si="0"/>
        <v>12.480000000000002</v>
      </c>
      <c r="I8" s="58">
        <f t="shared" si="3"/>
        <v>8.0607142857142863E-2</v>
      </c>
      <c r="J8" s="58">
        <f t="shared" si="4"/>
        <v>1.6121428571428575E-2</v>
      </c>
    </row>
    <row r="9" spans="1:10" x14ac:dyDescent="0.25">
      <c r="A9" s="76" t="s">
        <v>61</v>
      </c>
      <c r="B9" s="174">
        <v>0.88</v>
      </c>
      <c r="C9" s="149">
        <v>0</v>
      </c>
      <c r="D9" s="148">
        <v>2000</v>
      </c>
      <c r="E9" s="152">
        <f>'Feedlot feed-Beef Finisher'!E9</f>
        <v>175</v>
      </c>
      <c r="F9" s="61">
        <f t="shared" si="1"/>
        <v>0</v>
      </c>
      <c r="G9" s="55">
        <f t="shared" si="2"/>
        <v>0</v>
      </c>
      <c r="H9" s="55">
        <f t="shared" si="0"/>
        <v>0</v>
      </c>
      <c r="I9" s="58">
        <f t="shared" si="3"/>
        <v>9.9431818181818177E-2</v>
      </c>
      <c r="J9" s="58">
        <f t="shared" si="4"/>
        <v>0</v>
      </c>
    </row>
    <row r="10" spans="1:10" x14ac:dyDescent="0.25">
      <c r="A10" s="76" t="s">
        <v>62</v>
      </c>
      <c r="B10" s="174">
        <v>0.89</v>
      </c>
      <c r="C10" s="149">
        <v>0</v>
      </c>
      <c r="D10" s="148">
        <v>2000</v>
      </c>
      <c r="E10" s="152">
        <f>'Feedlot feed-Beef Finisher'!E10</f>
        <v>423</v>
      </c>
      <c r="F10" s="61">
        <f t="shared" si="1"/>
        <v>0</v>
      </c>
      <c r="G10" s="55">
        <f t="shared" si="2"/>
        <v>0</v>
      </c>
      <c r="H10" s="55">
        <f t="shared" si="0"/>
        <v>0</v>
      </c>
      <c r="I10" s="58">
        <f t="shared" si="3"/>
        <v>0.23764044943820223</v>
      </c>
      <c r="J10" s="58">
        <f t="shared" si="4"/>
        <v>0</v>
      </c>
    </row>
    <row r="11" spans="1:10" x14ac:dyDescent="0.25">
      <c r="A11" s="76" t="s">
        <v>63</v>
      </c>
      <c r="B11" s="174">
        <v>1</v>
      </c>
      <c r="C11" s="149">
        <v>0</v>
      </c>
      <c r="D11" s="148">
        <v>2000</v>
      </c>
      <c r="E11" s="152">
        <f>'Feedlot feed-Beef Finisher'!E11</f>
        <v>335</v>
      </c>
      <c r="F11" s="61">
        <f t="shared" si="1"/>
        <v>0</v>
      </c>
      <c r="G11" s="55">
        <f t="shared" si="2"/>
        <v>0</v>
      </c>
      <c r="H11" s="55">
        <f t="shared" si="0"/>
        <v>0</v>
      </c>
      <c r="I11" s="58">
        <f t="shared" si="3"/>
        <v>0.16750000000000001</v>
      </c>
      <c r="J11" s="58">
        <f t="shared" si="4"/>
        <v>0</v>
      </c>
    </row>
    <row r="12" spans="1:10" x14ac:dyDescent="0.25">
      <c r="A12" s="76" t="s">
        <v>64</v>
      </c>
      <c r="B12" s="174">
        <v>1</v>
      </c>
      <c r="C12" s="149">
        <v>0</v>
      </c>
      <c r="D12" s="148">
        <v>2000</v>
      </c>
      <c r="E12" s="152">
        <f>'Feedlot feed-Beef Finisher'!E12</f>
        <v>800</v>
      </c>
      <c r="F12" s="61">
        <f t="shared" si="1"/>
        <v>0</v>
      </c>
      <c r="G12" s="55">
        <f t="shared" si="2"/>
        <v>0</v>
      </c>
      <c r="H12" s="55">
        <f t="shared" si="0"/>
        <v>0</v>
      </c>
      <c r="I12" s="58">
        <f t="shared" si="3"/>
        <v>0.4</v>
      </c>
      <c r="J12" s="58">
        <f t="shared" si="4"/>
        <v>0</v>
      </c>
    </row>
    <row r="13" spans="1:10" x14ac:dyDescent="0.25">
      <c r="A13" s="76" t="s">
        <v>65</v>
      </c>
      <c r="B13" s="174">
        <v>1</v>
      </c>
      <c r="C13" s="149">
        <v>0</v>
      </c>
      <c r="D13" s="148">
        <v>1</v>
      </c>
      <c r="E13" s="152">
        <f>'Feedlot feed-Beef Finisher'!E13</f>
        <v>1500</v>
      </c>
      <c r="F13" s="61">
        <f t="shared" si="1"/>
        <v>0</v>
      </c>
      <c r="G13" s="55">
        <f t="shared" si="2"/>
        <v>0</v>
      </c>
      <c r="H13" s="55">
        <f t="shared" si="0"/>
        <v>0</v>
      </c>
      <c r="I13" s="58">
        <f t="shared" si="3"/>
        <v>1500</v>
      </c>
      <c r="J13" s="58">
        <f t="shared" si="4"/>
        <v>0</v>
      </c>
    </row>
    <row r="14" spans="1:10" x14ac:dyDescent="0.25">
      <c r="A14" s="76" t="s">
        <v>66</v>
      </c>
      <c r="B14" s="174">
        <v>1</v>
      </c>
      <c r="C14" s="149">
        <v>0</v>
      </c>
      <c r="D14" s="148">
        <v>1</v>
      </c>
      <c r="E14" s="152">
        <f>'Feedlot feed-Beef Finisher'!E14</f>
        <v>1400</v>
      </c>
      <c r="F14" s="61">
        <f t="shared" si="1"/>
        <v>0</v>
      </c>
      <c r="G14" s="55">
        <f t="shared" si="2"/>
        <v>0</v>
      </c>
      <c r="H14" s="55">
        <f t="shared" si="0"/>
        <v>0</v>
      </c>
      <c r="I14" s="58">
        <f t="shared" si="3"/>
        <v>1400</v>
      </c>
      <c r="J14" s="58">
        <f t="shared" si="4"/>
        <v>0</v>
      </c>
    </row>
    <row r="15" spans="1:10" x14ac:dyDescent="0.25">
      <c r="A15" s="76" t="s">
        <v>86</v>
      </c>
      <c r="B15" s="175">
        <v>0.9</v>
      </c>
      <c r="C15" s="176">
        <v>0.15</v>
      </c>
      <c r="D15" s="143">
        <v>2000</v>
      </c>
      <c r="E15" s="152">
        <f>'Feedlot feed-Beef Finisher'!E15</f>
        <v>207.5</v>
      </c>
      <c r="F15" s="65">
        <f t="shared" si="1"/>
        <v>0.13500000000000001</v>
      </c>
      <c r="G15" s="55">
        <f t="shared" si="2"/>
        <v>3.2759999999999998</v>
      </c>
      <c r="H15" s="66">
        <f t="shared" si="0"/>
        <v>3.6399999999999997</v>
      </c>
      <c r="I15" s="67">
        <f t="shared" si="3"/>
        <v>0.11527777777777777</v>
      </c>
      <c r="J15" s="67">
        <f t="shared" si="4"/>
        <v>1.7291666666666664E-2</v>
      </c>
    </row>
    <row r="16" spans="1:10" x14ac:dyDescent="0.25">
      <c r="A16" s="77" t="s">
        <v>90</v>
      </c>
      <c r="B16" s="175">
        <v>1</v>
      </c>
      <c r="C16" s="176">
        <v>0.04</v>
      </c>
      <c r="D16" s="143">
        <v>2000</v>
      </c>
      <c r="E16" s="152">
        <f>'Feedlot feed-Beef Finisher'!E16</f>
        <v>800</v>
      </c>
      <c r="F16" s="65">
        <f t="shared" si="1"/>
        <v>0.04</v>
      </c>
      <c r="G16" s="55">
        <f t="shared" si="2"/>
        <v>0.87360000000000004</v>
      </c>
      <c r="H16" s="66">
        <f t="shared" si="0"/>
        <v>0.87360000000000004</v>
      </c>
      <c r="I16" s="67">
        <f t="shared" si="3"/>
        <v>0.4</v>
      </c>
      <c r="J16" s="67">
        <f t="shared" si="4"/>
        <v>1.6E-2</v>
      </c>
    </row>
    <row r="17" spans="1:11" ht="13" thickBot="1" x14ac:dyDescent="0.3">
      <c r="A17" s="78" t="s">
        <v>67</v>
      </c>
      <c r="B17" s="177">
        <v>1</v>
      </c>
      <c r="C17" s="178">
        <v>0</v>
      </c>
      <c r="D17" s="179">
        <v>1</v>
      </c>
      <c r="E17" s="183">
        <f>'Feedlot feed-Beef Finisher'!E17</f>
        <v>0</v>
      </c>
      <c r="F17" s="62">
        <f t="shared" si="1"/>
        <v>0</v>
      </c>
      <c r="G17" s="55">
        <f t="shared" si="2"/>
        <v>0</v>
      </c>
      <c r="H17" s="56">
        <f t="shared" si="0"/>
        <v>0</v>
      </c>
      <c r="I17" s="59">
        <f t="shared" si="3"/>
        <v>0</v>
      </c>
      <c r="J17" s="59">
        <f t="shared" si="4"/>
        <v>0</v>
      </c>
    </row>
    <row r="18" spans="1:11" ht="13" thickTop="1" x14ac:dyDescent="0.25">
      <c r="A18" s="8" t="s">
        <v>68</v>
      </c>
      <c r="B18" s="10"/>
      <c r="C18" s="34">
        <f>SUM(C6:C17)</f>
        <v>1</v>
      </c>
      <c r="F18" s="63">
        <f>SUM(F6:F17)</f>
        <v>0.76349999999999996</v>
      </c>
      <c r="G18" s="57">
        <f>'Feedlot Budget'!E16*'Feedlot Budget'!E17</f>
        <v>21.84</v>
      </c>
      <c r="H18" s="57">
        <f>SUM(H6:H17)</f>
        <v>32.66701176470589</v>
      </c>
      <c r="I18" s="10"/>
      <c r="J18" s="13">
        <f>SUM(J6:J17)</f>
        <v>0.12172244397759104</v>
      </c>
    </row>
    <row r="19" spans="1:11" x14ac:dyDescent="0.25">
      <c r="A19" s="10"/>
      <c r="B19" s="10"/>
      <c r="C19" s="27" t="str">
        <f>IF(C18&lt;0.998,"Must equal 100%",IF(C18&gt;1.002,"Must equal 100%"," "))</f>
        <v xml:space="preserve"> </v>
      </c>
      <c r="D19" s="11"/>
      <c r="E19" s="11"/>
      <c r="F19" s="11"/>
      <c r="G19" s="10"/>
      <c r="H19" s="9"/>
      <c r="I19" s="9"/>
      <c r="J19" s="10"/>
      <c r="K19" s="12"/>
    </row>
    <row r="20" spans="1:11" x14ac:dyDescent="0.25">
      <c r="A20" s="8" t="s">
        <v>69</v>
      </c>
      <c r="B20" s="40">
        <f>F18</f>
        <v>0.76349999999999996</v>
      </c>
      <c r="D20" s="10"/>
      <c r="E20" s="10"/>
      <c r="F20" s="10"/>
      <c r="G20" s="10"/>
      <c r="H20" s="9"/>
      <c r="I20" s="10"/>
      <c r="J20" s="9"/>
      <c r="K20" s="10"/>
    </row>
    <row r="21" spans="1:11" x14ac:dyDescent="0.25">
      <c r="A21" s="8" t="s">
        <v>70</v>
      </c>
      <c r="B21" s="41">
        <f>J18*2000</f>
        <v>243.44488795518208</v>
      </c>
      <c r="D21" s="10"/>
      <c r="E21" s="10"/>
      <c r="F21" s="10"/>
      <c r="G21" s="10"/>
      <c r="H21" s="9"/>
      <c r="I21" s="10"/>
      <c r="J21" s="9"/>
      <c r="K21" s="10"/>
    </row>
    <row r="22" spans="1:11" x14ac:dyDescent="0.25">
      <c r="A22" s="8" t="s">
        <v>71</v>
      </c>
      <c r="B22" s="41">
        <f>J18*2000*B20</f>
        <v>185.87017195378152</v>
      </c>
    </row>
    <row r="25" spans="1:11" ht="13.5" thickBot="1" x14ac:dyDescent="0.35">
      <c r="A25" s="68" t="s">
        <v>72</v>
      </c>
      <c r="B25" s="33"/>
      <c r="C25" s="33"/>
      <c r="D25" s="33"/>
    </row>
    <row r="26" spans="1:11" ht="13" thickTop="1" x14ac:dyDescent="0.25">
      <c r="B26" s="38" t="s">
        <v>161</v>
      </c>
      <c r="C26" s="4"/>
      <c r="D26" s="39"/>
    </row>
    <row r="27" spans="1:11" x14ac:dyDescent="0.25">
      <c r="B27" s="26" t="s">
        <v>73</v>
      </c>
      <c r="C27" s="26" t="s">
        <v>74</v>
      </c>
      <c r="D27" s="26" t="s">
        <v>75</v>
      </c>
    </row>
    <row r="28" spans="1:11" ht="13" thickBot="1" x14ac:dyDescent="0.3">
      <c r="A28" s="30" t="s">
        <v>48</v>
      </c>
      <c r="B28" s="31" t="s">
        <v>76</v>
      </c>
      <c r="C28" s="31" t="s">
        <v>76</v>
      </c>
      <c r="D28" s="31" t="s">
        <v>22</v>
      </c>
    </row>
    <row r="29" spans="1:11" x14ac:dyDescent="0.25">
      <c r="A29" s="79" t="str">
        <f t="array" ref="A29:A40">'Feedlot feed-Holstein Finisher'!$A$6:$A$17</f>
        <v>Corn</v>
      </c>
      <c r="B29" s="155">
        <v>1.02</v>
      </c>
      <c r="C29" s="155">
        <v>0.7</v>
      </c>
      <c r="D29" s="155">
        <v>9</v>
      </c>
    </row>
    <row r="30" spans="1:11" x14ac:dyDescent="0.25">
      <c r="A30" s="79" t="str">
        <v>By-prod</v>
      </c>
      <c r="B30" s="155"/>
      <c r="C30" s="155"/>
      <c r="D30" s="155"/>
    </row>
    <row r="31" spans="1:11" x14ac:dyDescent="0.25">
      <c r="A31" s="79" t="str">
        <v>Corn silage</v>
      </c>
      <c r="B31" s="155">
        <v>0.77</v>
      </c>
      <c r="C31" s="155">
        <v>0.49</v>
      </c>
      <c r="D31" s="155">
        <v>8.65</v>
      </c>
    </row>
    <row r="32" spans="1:11" x14ac:dyDescent="0.25">
      <c r="A32" s="79" t="str">
        <v>Hay</v>
      </c>
      <c r="B32" s="155">
        <v>0.54</v>
      </c>
      <c r="C32" s="155">
        <v>0.28000000000000003</v>
      </c>
      <c r="D32" s="155">
        <v>16</v>
      </c>
    </row>
    <row r="33" spans="1:4" x14ac:dyDescent="0.25">
      <c r="A33" s="79" t="str">
        <v>SBM</v>
      </c>
      <c r="B33" s="155">
        <v>0.93</v>
      </c>
      <c r="C33" s="155">
        <v>0.64</v>
      </c>
      <c r="D33" s="155">
        <v>49.9</v>
      </c>
    </row>
    <row r="34" spans="1:4" x14ac:dyDescent="0.25">
      <c r="A34" s="79" t="str">
        <v>Urea</v>
      </c>
      <c r="B34" s="155">
        <v>0</v>
      </c>
      <c r="C34" s="155">
        <v>0</v>
      </c>
      <c r="D34" s="155">
        <v>291</v>
      </c>
    </row>
    <row r="35" spans="1:4" x14ac:dyDescent="0.25">
      <c r="A35" s="79" t="str">
        <v>Macro-minerals</v>
      </c>
      <c r="B35" s="155">
        <v>0</v>
      </c>
      <c r="C35" s="155">
        <v>0</v>
      </c>
      <c r="D35" s="155">
        <v>0</v>
      </c>
    </row>
    <row r="36" spans="1:4" x14ac:dyDescent="0.25">
      <c r="A36" s="79" t="str">
        <v>Vitamin-trace minerals</v>
      </c>
      <c r="B36" s="155">
        <v>0</v>
      </c>
      <c r="C36" s="155">
        <v>0</v>
      </c>
      <c r="D36" s="155">
        <v>0</v>
      </c>
    </row>
    <row r="37" spans="1:4" x14ac:dyDescent="0.25">
      <c r="A37" s="79" t="str">
        <v>Ionophore</v>
      </c>
      <c r="B37" s="155">
        <v>0</v>
      </c>
      <c r="C37" s="155">
        <v>0</v>
      </c>
      <c r="D37" s="155">
        <v>0</v>
      </c>
    </row>
    <row r="38" spans="1:4" x14ac:dyDescent="0.25">
      <c r="A38" s="79" t="str">
        <v>DDGS</v>
      </c>
      <c r="B38" s="147">
        <v>0.96</v>
      </c>
      <c r="C38" s="147">
        <v>0.68</v>
      </c>
      <c r="D38" s="147">
        <v>30</v>
      </c>
    </row>
    <row r="39" spans="1:4" x14ac:dyDescent="0.25">
      <c r="A39" s="79" t="str">
        <v>Supplement &amp; Limestone</v>
      </c>
      <c r="B39" s="147"/>
      <c r="C39" s="147"/>
      <c r="D39" s="147">
        <v>35</v>
      </c>
    </row>
    <row r="40" spans="1:4" ht="13" thickBot="1" x14ac:dyDescent="0.3">
      <c r="A40" s="79" t="str">
        <v xml:space="preserve">Other </v>
      </c>
      <c r="B40" s="182"/>
      <c r="C40" s="182"/>
      <c r="D40" s="182"/>
    </row>
    <row r="41" spans="1:4" ht="13" thickTop="1" x14ac:dyDescent="0.25">
      <c r="A41" s="8" t="s">
        <v>68</v>
      </c>
      <c r="B41" s="57">
        <f>(B29*C6)+(B30*C7)+(B31*C8)+(B32*C9)+(B33*C10)+(B34*C11)+(B35*C12)+(B36*C13)+(B37*C14)+(B38*C15)+(B39*C16)+(B40*C17)</f>
        <v>0.92020000000000002</v>
      </c>
      <c r="C41" s="57">
        <f>(C29*C6)+(C30*C7)+(C31*C8)+(C32*C9)+(C33*C10)+(C34*C11)+(C35*C12)+(C36*C13)+(C37*C14)+(C38*C15)+(C39*C16)+(C40*C17)</f>
        <v>0.627</v>
      </c>
      <c r="D41" s="57">
        <f>(D29*C6)+(D30*C7)+(D31*C8)+(D32*C9)+(D33*C10)+(D34*C11)+(D35*C12)+(D36*C13)+(D37*C14)+(D38*C15)+(D39*C16)+(D40*C17)</f>
        <v>13.120000000000001</v>
      </c>
    </row>
  </sheetData>
  <sheetProtection sheet="1" objects="1" scenarios="1"/>
  <mergeCells count="1">
    <mergeCell ref="A3:B3"/>
  </mergeCells>
  <phoneticPr fontId="0" type="noConversion"/>
  <printOptions gridLines="1" gridLinesSet="0"/>
  <pageMargins left="0.75" right="0.75" top="1" bottom="1" header="0.5" footer="0.5"/>
  <pageSetup scale="94" orientation="portrait" horizontalDpi="4294967292"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25"/>
  <sheetViews>
    <sheetView zoomScaleNormal="100" workbookViewId="0">
      <selection activeCell="F25" sqref="F25"/>
    </sheetView>
  </sheetViews>
  <sheetFormatPr defaultColWidth="9" defaultRowHeight="12.5" x14ac:dyDescent="0.25"/>
  <cols>
    <col min="1" max="1" width="31.6328125" style="163" customWidth="1"/>
    <col min="2" max="2" width="14.7265625" style="163" customWidth="1"/>
    <col min="3" max="3" width="10.6328125" style="163" customWidth="1"/>
    <col min="4" max="4" width="15.08984375" style="163" customWidth="1"/>
    <col min="5" max="5" width="9" style="163"/>
    <col min="6" max="6" width="9.08984375" style="199" customWidth="1"/>
    <col min="7" max="7" width="9" style="163"/>
    <col min="8" max="8" width="16.26953125" style="163" customWidth="1"/>
    <col min="9" max="16384" width="9" style="163"/>
  </cols>
  <sheetData>
    <row r="1" spans="1:6" ht="13" x14ac:dyDescent="0.3">
      <c r="A1" s="97" t="s">
        <v>124</v>
      </c>
      <c r="B1" s="184">
        <v>2000</v>
      </c>
      <c r="C1" s="168"/>
      <c r="D1" s="168"/>
      <c r="E1" s="168"/>
      <c r="F1" s="204" t="s">
        <v>129</v>
      </c>
    </row>
    <row r="2" spans="1:6" x14ac:dyDescent="0.25">
      <c r="A2" s="97" t="s">
        <v>125</v>
      </c>
      <c r="B2" s="184">
        <v>252</v>
      </c>
      <c r="C2" s="168"/>
      <c r="D2" s="168"/>
      <c r="E2" s="168"/>
      <c r="F2" s="215" t="s">
        <v>130</v>
      </c>
    </row>
    <row r="3" spans="1:6" ht="13" x14ac:dyDescent="0.3">
      <c r="A3" s="168"/>
      <c r="B3" s="97" t="s">
        <v>156</v>
      </c>
      <c r="C3" s="97" t="s">
        <v>126</v>
      </c>
      <c r="D3" s="97" t="s">
        <v>127</v>
      </c>
      <c r="E3" s="97"/>
      <c r="F3" s="204" t="s">
        <v>127</v>
      </c>
    </row>
    <row r="4" spans="1:6" ht="13" x14ac:dyDescent="0.3">
      <c r="A4" s="209" t="s">
        <v>141</v>
      </c>
      <c r="B4" s="185"/>
      <c r="C4" s="97"/>
      <c r="D4" s="97"/>
      <c r="E4" s="97"/>
      <c r="F4" s="204"/>
    </row>
    <row r="5" spans="1:6" ht="13" x14ac:dyDescent="0.3">
      <c r="A5" s="97" t="s">
        <v>111</v>
      </c>
      <c r="B5" s="186">
        <v>45359.999999999993</v>
      </c>
      <c r="C5" s="205">
        <f t="shared" ref="C5:C14" si="0">B5/$B$1</f>
        <v>22.679999999999996</v>
      </c>
      <c r="D5" s="205">
        <f t="shared" ref="D5:D14" si="1">C5/$B$2</f>
        <v>8.9999999999999983E-2</v>
      </c>
      <c r="E5" s="205"/>
      <c r="F5" s="206">
        <v>0.09</v>
      </c>
    </row>
    <row r="6" spans="1:6" ht="13" x14ac:dyDescent="0.3">
      <c r="A6" s="97" t="s">
        <v>112</v>
      </c>
      <c r="B6" s="186">
        <v>10080</v>
      </c>
      <c r="C6" s="205">
        <f t="shared" si="0"/>
        <v>5.04</v>
      </c>
      <c r="D6" s="205">
        <f t="shared" si="1"/>
        <v>0.02</v>
      </c>
      <c r="E6" s="205"/>
      <c r="F6" s="206">
        <v>0.02</v>
      </c>
    </row>
    <row r="7" spans="1:6" ht="13" x14ac:dyDescent="0.3">
      <c r="A7" s="97" t="s">
        <v>113</v>
      </c>
      <c r="B7" s="186">
        <v>25200.000000000004</v>
      </c>
      <c r="C7" s="205">
        <f t="shared" si="0"/>
        <v>12.600000000000001</v>
      </c>
      <c r="D7" s="205">
        <f t="shared" si="1"/>
        <v>0.05</v>
      </c>
      <c r="E7" s="205"/>
      <c r="F7" s="206">
        <v>0.05</v>
      </c>
    </row>
    <row r="8" spans="1:6" ht="13" x14ac:dyDescent="0.3">
      <c r="A8" s="97" t="s">
        <v>114</v>
      </c>
      <c r="B8" s="186">
        <v>0</v>
      </c>
      <c r="C8" s="205">
        <f t="shared" si="0"/>
        <v>0</v>
      </c>
      <c r="D8" s="205">
        <f t="shared" si="1"/>
        <v>0</v>
      </c>
      <c r="E8" s="205"/>
      <c r="F8" s="206">
        <v>0</v>
      </c>
    </row>
    <row r="9" spans="1:6" ht="13" x14ac:dyDescent="0.3">
      <c r="A9" s="97" t="s">
        <v>115</v>
      </c>
      <c r="B9" s="186">
        <v>95760</v>
      </c>
      <c r="C9" s="205">
        <f t="shared" si="0"/>
        <v>47.88</v>
      </c>
      <c r="D9" s="205">
        <f t="shared" si="1"/>
        <v>0.19</v>
      </c>
      <c r="E9" s="205"/>
      <c r="F9" s="206">
        <v>0.19</v>
      </c>
    </row>
    <row r="10" spans="1:6" ht="13" x14ac:dyDescent="0.3">
      <c r="A10" s="97" t="s">
        <v>116</v>
      </c>
      <c r="B10" s="186">
        <v>30000</v>
      </c>
      <c r="C10" s="205">
        <f t="shared" si="0"/>
        <v>15</v>
      </c>
      <c r="D10" s="205">
        <f t="shared" si="1"/>
        <v>5.9523809523809521E-2</v>
      </c>
      <c r="E10" s="205"/>
      <c r="F10" s="206">
        <v>0.06</v>
      </c>
    </row>
    <row r="11" spans="1:6" ht="13" x14ac:dyDescent="0.3">
      <c r="A11" s="97" t="s">
        <v>117</v>
      </c>
      <c r="B11" s="186">
        <v>20160</v>
      </c>
      <c r="C11" s="205">
        <f t="shared" si="0"/>
        <v>10.08</v>
      </c>
      <c r="D11" s="205">
        <f t="shared" si="1"/>
        <v>0.04</v>
      </c>
      <c r="E11" s="205"/>
      <c r="F11" s="206">
        <v>0.04</v>
      </c>
    </row>
    <row r="12" spans="1:6" ht="13" x14ac:dyDescent="0.3">
      <c r="A12" s="97" t="s">
        <v>118</v>
      </c>
      <c r="B12" s="186">
        <v>15120</v>
      </c>
      <c r="C12" s="205">
        <f t="shared" si="0"/>
        <v>7.56</v>
      </c>
      <c r="D12" s="205">
        <f t="shared" si="1"/>
        <v>0.03</v>
      </c>
      <c r="E12" s="205"/>
      <c r="F12" s="206">
        <v>0.03</v>
      </c>
    </row>
    <row r="13" spans="1:6" ht="13" x14ac:dyDescent="0.3">
      <c r="A13" s="97" t="s">
        <v>107</v>
      </c>
      <c r="B13" s="186">
        <v>5040</v>
      </c>
      <c r="C13" s="205">
        <f t="shared" si="0"/>
        <v>2.52</v>
      </c>
      <c r="D13" s="205">
        <f t="shared" si="1"/>
        <v>0.01</v>
      </c>
      <c r="E13" s="205"/>
      <c r="F13" s="206">
        <v>0.01</v>
      </c>
    </row>
    <row r="14" spans="1:6" ht="13" x14ac:dyDescent="0.3">
      <c r="A14" s="97" t="s">
        <v>121</v>
      </c>
      <c r="B14" s="186">
        <v>0</v>
      </c>
      <c r="C14" s="205">
        <f t="shared" si="0"/>
        <v>0</v>
      </c>
      <c r="D14" s="205">
        <f t="shared" si="1"/>
        <v>0</v>
      </c>
      <c r="E14" s="205"/>
      <c r="F14" s="206">
        <v>0</v>
      </c>
    </row>
    <row r="15" spans="1:6" ht="13" x14ac:dyDescent="0.3">
      <c r="A15" s="97" t="s">
        <v>120</v>
      </c>
      <c r="B15" s="186">
        <v>40320</v>
      </c>
      <c r="C15" s="205">
        <f>B15/$B$1</f>
        <v>20.16</v>
      </c>
      <c r="D15" s="205">
        <f>C15/$B$2</f>
        <v>0.08</v>
      </c>
      <c r="E15" s="205"/>
      <c r="F15" s="206">
        <v>0.08</v>
      </c>
    </row>
    <row r="16" spans="1:6" ht="13" x14ac:dyDescent="0.3">
      <c r="A16" s="168"/>
      <c r="C16" s="168"/>
      <c r="D16" s="168"/>
      <c r="E16" s="168"/>
      <c r="F16" s="204"/>
    </row>
    <row r="17" spans="1:11" ht="13" x14ac:dyDescent="0.3">
      <c r="A17" s="209" t="s">
        <v>142</v>
      </c>
      <c r="C17" s="168"/>
      <c r="D17" s="168"/>
      <c r="E17" s="168"/>
      <c r="F17" s="204"/>
    </row>
    <row r="18" spans="1:11" ht="13" x14ac:dyDescent="0.3">
      <c r="A18" s="97" t="s">
        <v>108</v>
      </c>
      <c r="B18" s="186">
        <v>25200.000000000004</v>
      </c>
      <c r="C18" s="205">
        <f t="shared" ref="C18:C23" si="2">B18/$B$1</f>
        <v>12.600000000000001</v>
      </c>
      <c r="D18" s="205">
        <f t="shared" ref="D18:D23" si="3">C18/$B$2</f>
        <v>0.05</v>
      </c>
      <c r="E18" s="205"/>
      <c r="F18" s="206">
        <v>0.05</v>
      </c>
    </row>
    <row r="19" spans="1:11" ht="13" x14ac:dyDescent="0.3">
      <c r="A19" s="97" t="s">
        <v>119</v>
      </c>
      <c r="B19" s="186">
        <v>90719.999999999985</v>
      </c>
      <c r="C19" s="205">
        <f t="shared" si="2"/>
        <v>45.359999999999992</v>
      </c>
      <c r="D19" s="205">
        <f t="shared" si="3"/>
        <v>0.17999999999999997</v>
      </c>
      <c r="E19" s="205"/>
      <c r="F19" s="206">
        <v>0.18</v>
      </c>
    </row>
    <row r="20" spans="1:11" s="110" customFormat="1" ht="13" x14ac:dyDescent="0.3">
      <c r="A20" s="210" t="s">
        <v>106</v>
      </c>
      <c r="B20" s="186">
        <v>30240</v>
      </c>
      <c r="C20" s="207">
        <f t="shared" si="2"/>
        <v>15.12</v>
      </c>
      <c r="D20" s="207">
        <f t="shared" si="3"/>
        <v>0.06</v>
      </c>
      <c r="E20" s="207"/>
      <c r="F20" s="208">
        <v>0.06</v>
      </c>
    </row>
    <row r="21" spans="1:11" ht="13" x14ac:dyDescent="0.3">
      <c r="A21" s="97" t="s">
        <v>140</v>
      </c>
      <c r="B21" s="186">
        <v>10080</v>
      </c>
      <c r="C21" s="205">
        <f t="shared" si="2"/>
        <v>5.04</v>
      </c>
      <c r="D21" s="205">
        <f t="shared" si="3"/>
        <v>0.02</v>
      </c>
      <c r="E21" s="205"/>
      <c r="F21" s="206">
        <v>0.02</v>
      </c>
      <c r="H21" s="110"/>
      <c r="I21" s="110"/>
      <c r="J21" s="110"/>
      <c r="K21" s="110"/>
    </row>
    <row r="22" spans="1:11" ht="13" x14ac:dyDescent="0.3">
      <c r="A22" s="97" t="s">
        <v>109</v>
      </c>
      <c r="B22" s="186">
        <v>15120</v>
      </c>
      <c r="C22" s="205">
        <f t="shared" si="2"/>
        <v>7.56</v>
      </c>
      <c r="D22" s="205">
        <f t="shared" si="3"/>
        <v>0.03</v>
      </c>
      <c r="E22" s="205"/>
      <c r="F22" s="206">
        <v>0.03</v>
      </c>
      <c r="H22" s="110"/>
      <c r="I22" s="110"/>
      <c r="J22" s="110"/>
      <c r="K22" s="110"/>
    </row>
    <row r="23" spans="1:11" ht="13" x14ac:dyDescent="0.3">
      <c r="A23" s="97" t="s">
        <v>110</v>
      </c>
      <c r="B23" s="186">
        <v>5000</v>
      </c>
      <c r="C23" s="205">
        <f t="shared" si="2"/>
        <v>2.5</v>
      </c>
      <c r="D23" s="205">
        <f t="shared" si="3"/>
        <v>9.9206349206349201E-3</v>
      </c>
      <c r="E23" s="205"/>
      <c r="F23" s="206">
        <v>0.03</v>
      </c>
      <c r="H23" s="203"/>
      <c r="I23" s="110"/>
      <c r="J23" s="110"/>
      <c r="K23" s="110"/>
    </row>
    <row r="24" spans="1:11" ht="13" x14ac:dyDescent="0.3">
      <c r="A24" s="97"/>
      <c r="B24" s="202"/>
      <c r="C24" s="205"/>
      <c r="D24" s="205"/>
      <c r="E24" s="205"/>
      <c r="F24" s="206"/>
      <c r="H24" s="203"/>
      <c r="I24" s="110"/>
      <c r="J24" s="110"/>
      <c r="K24" s="110"/>
    </row>
    <row r="25" spans="1:11" ht="13" x14ac:dyDescent="0.3">
      <c r="A25" s="211" t="s">
        <v>143</v>
      </c>
      <c r="B25" s="200">
        <f>SUM(B5:B15)</f>
        <v>287040</v>
      </c>
      <c r="C25" s="205">
        <f>SUM(C5:C15)</f>
        <v>143.51999999999998</v>
      </c>
      <c r="D25" s="205">
        <f>SUM(D5:D15)</f>
        <v>0.56952380952380943</v>
      </c>
      <c r="E25" s="168"/>
      <c r="F25" s="204"/>
      <c r="H25" s="110"/>
      <c r="I25" s="201"/>
      <c r="J25" s="110"/>
      <c r="K25" s="110"/>
    </row>
    <row r="26" spans="1:11" ht="13" x14ac:dyDescent="0.3">
      <c r="A26" s="211" t="s">
        <v>144</v>
      </c>
      <c r="B26" s="200">
        <f>SUM(B18:B23)</f>
        <v>176360</v>
      </c>
      <c r="C26" s="205">
        <f>SUM(C18:C23)</f>
        <v>88.18</v>
      </c>
      <c r="D26" s="205">
        <f>SUM(D18:D23)</f>
        <v>0.34992063492063491</v>
      </c>
      <c r="E26" s="168"/>
      <c r="F26" s="204"/>
      <c r="H26" s="110"/>
      <c r="I26" s="110"/>
      <c r="J26" s="201"/>
      <c r="K26" s="110"/>
    </row>
    <row r="27" spans="1:11" ht="13" x14ac:dyDescent="0.3">
      <c r="A27" s="211" t="s">
        <v>123</v>
      </c>
      <c r="B27" s="200">
        <f t="shared" ref="B27:C27" si="4">SUM(B25:B26)</f>
        <v>463400</v>
      </c>
      <c r="C27" s="205">
        <f t="shared" si="4"/>
        <v>231.7</v>
      </c>
      <c r="D27" s="205">
        <f>SUM(D25:D26)</f>
        <v>0.91944444444444429</v>
      </c>
      <c r="E27" s="205"/>
      <c r="F27" s="206">
        <f>SUM(F5:F26)</f>
        <v>0.94000000000000017</v>
      </c>
      <c r="H27" s="110"/>
      <c r="I27" s="201"/>
      <c r="J27" s="110"/>
      <c r="K27" s="110"/>
    </row>
    <row r="28" spans="1:11" x14ac:dyDescent="0.25">
      <c r="A28" s="168"/>
      <c r="H28" s="201"/>
      <c r="I28" s="201"/>
      <c r="J28" s="110"/>
      <c r="K28" s="110"/>
    </row>
    <row r="29" spans="1:11" x14ac:dyDescent="0.25">
      <c r="A29" s="168"/>
      <c r="B29" s="200"/>
      <c r="C29" s="200"/>
      <c r="D29" s="200"/>
      <c r="E29" s="200"/>
      <c r="H29" s="110"/>
      <c r="I29" s="110"/>
      <c r="J29" s="110"/>
      <c r="K29" s="110"/>
    </row>
    <row r="30" spans="1:11" x14ac:dyDescent="0.25">
      <c r="A30" s="168"/>
      <c r="H30" s="110"/>
      <c r="I30" s="201"/>
      <c r="J30" s="110"/>
      <c r="K30" s="110"/>
    </row>
    <row r="31" spans="1:11" ht="13" x14ac:dyDescent="0.3">
      <c r="A31" s="212" t="s">
        <v>128</v>
      </c>
      <c r="H31" s="110"/>
      <c r="I31" s="201"/>
      <c r="J31" s="110"/>
      <c r="K31" s="110"/>
    </row>
    <row r="32" spans="1:11" x14ac:dyDescent="0.25">
      <c r="A32" s="168"/>
      <c r="H32" s="110"/>
      <c r="I32" s="110"/>
      <c r="J32" s="110"/>
      <c r="K32" s="110"/>
    </row>
    <row r="33" spans="1:11" ht="13" x14ac:dyDescent="0.3">
      <c r="A33" s="211" t="s">
        <v>136</v>
      </c>
      <c r="H33" s="110"/>
      <c r="I33" s="110"/>
      <c r="J33" s="110"/>
      <c r="K33" s="110"/>
    </row>
    <row r="34" spans="1:11" x14ac:dyDescent="0.25">
      <c r="A34" s="168" t="s">
        <v>131</v>
      </c>
    </row>
    <row r="35" spans="1:11" x14ac:dyDescent="0.25">
      <c r="A35" s="168" t="s">
        <v>132</v>
      </c>
      <c r="B35" s="187">
        <v>1000000</v>
      </c>
    </row>
    <row r="36" spans="1:11" x14ac:dyDescent="0.25">
      <c r="A36" s="168" t="s">
        <v>133</v>
      </c>
      <c r="B36" s="187">
        <v>100000</v>
      </c>
    </row>
    <row r="37" spans="1:11" x14ac:dyDescent="0.25">
      <c r="A37" s="168" t="s">
        <v>134</v>
      </c>
      <c r="B37" s="188">
        <v>20</v>
      </c>
      <c r="C37" s="168" t="s">
        <v>135</v>
      </c>
    </row>
    <row r="38" spans="1:11" ht="13" x14ac:dyDescent="0.3">
      <c r="A38" s="211" t="s">
        <v>138</v>
      </c>
      <c r="B38" s="213">
        <f>(B35-B36)/B37</f>
        <v>45000</v>
      </c>
      <c r="C38" s="214" t="s">
        <v>139</v>
      </c>
    </row>
    <row r="39" spans="1:11" x14ac:dyDescent="0.25">
      <c r="A39" s="168"/>
    </row>
    <row r="40" spans="1:11" ht="13" x14ac:dyDescent="0.3">
      <c r="A40" s="211" t="s">
        <v>137</v>
      </c>
    </row>
    <row r="41" spans="1:11" x14ac:dyDescent="0.25">
      <c r="A41" s="168" t="s">
        <v>131</v>
      </c>
    </row>
    <row r="42" spans="1:11" x14ac:dyDescent="0.25">
      <c r="A42" s="168" t="s">
        <v>132</v>
      </c>
      <c r="B42" s="187">
        <v>50000</v>
      </c>
    </row>
    <row r="43" spans="1:11" x14ac:dyDescent="0.25">
      <c r="A43" s="168" t="s">
        <v>133</v>
      </c>
      <c r="B43" s="187">
        <v>10000</v>
      </c>
    </row>
    <row r="44" spans="1:11" x14ac:dyDescent="0.25">
      <c r="A44" s="168" t="s">
        <v>134</v>
      </c>
      <c r="B44" s="188">
        <v>8</v>
      </c>
      <c r="C44" s="168" t="s">
        <v>135</v>
      </c>
    </row>
    <row r="45" spans="1:11" ht="13" x14ac:dyDescent="0.3">
      <c r="A45" s="211" t="s">
        <v>138</v>
      </c>
      <c r="B45" s="213">
        <f>(B42-B43)/B44</f>
        <v>5000</v>
      </c>
      <c r="C45" s="214" t="s">
        <v>139</v>
      </c>
    </row>
    <row r="98" spans="1:1" x14ac:dyDescent="0.25">
      <c r="A98" s="185"/>
    </row>
    <row r="125" spans="1:1" x14ac:dyDescent="0.25">
      <c r="A125" s="185" t="s">
        <v>122</v>
      </c>
    </row>
  </sheetData>
  <sheetProtection sheet="1" objects="1" scenarios="1"/>
  <hyperlinks>
    <hyperlink ref="F2" r:id="rId1" xr:uid="{00000000-0004-0000-0500-000000000000}"/>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6600"/>
    <pageSetUpPr fitToPage="1"/>
  </sheetPr>
  <dimension ref="A1:AK91"/>
  <sheetViews>
    <sheetView zoomScaleNormal="100" workbookViewId="0">
      <selection activeCell="G92" sqref="G92"/>
    </sheetView>
  </sheetViews>
  <sheetFormatPr defaultRowHeight="12.5" x14ac:dyDescent="0.25"/>
  <cols>
    <col min="2" max="2" width="31.81640625" customWidth="1"/>
    <col min="4" max="4" width="12.6328125" customWidth="1"/>
    <col min="5" max="7" width="11.81640625" customWidth="1"/>
    <col min="8" max="8" width="11.81640625" style="7" customWidth="1"/>
    <col min="10" max="10" width="9" style="114"/>
    <col min="11" max="11" width="9" style="7"/>
    <col min="12" max="16" width="10.6328125" customWidth="1"/>
    <col min="17" max="17" width="11.6328125" customWidth="1"/>
    <col min="18" max="18" width="13.08984375" customWidth="1"/>
    <col min="19" max="19" width="22.26953125" customWidth="1"/>
    <col min="20" max="20" width="10.6328125" customWidth="1"/>
    <col min="25" max="37" width="9" style="4"/>
  </cols>
  <sheetData>
    <row r="1" spans="1:24" ht="18" customHeight="1" x14ac:dyDescent="0.4">
      <c r="A1" s="75" t="s">
        <v>159</v>
      </c>
      <c r="D1" s="26"/>
      <c r="E1" s="26"/>
      <c r="H1" s="107"/>
      <c r="M1" s="257" t="s">
        <v>104</v>
      </c>
      <c r="N1" s="257"/>
      <c r="O1" s="257"/>
      <c r="P1" s="257"/>
    </row>
    <row r="2" spans="1:24" ht="15.75" customHeight="1" x14ac:dyDescent="0.3">
      <c r="A2" s="255" t="s">
        <v>160</v>
      </c>
      <c r="B2" s="255"/>
      <c r="D2" s="26"/>
      <c r="E2" s="71"/>
      <c r="F2" s="71"/>
      <c r="L2" s="259" t="s">
        <v>105</v>
      </c>
    </row>
    <row r="3" spans="1:24" ht="13" x14ac:dyDescent="0.3">
      <c r="D3" s="26"/>
      <c r="E3" s="258" t="s">
        <v>88</v>
      </c>
      <c r="F3" s="258"/>
      <c r="G3" s="258" t="s">
        <v>89</v>
      </c>
      <c r="H3" s="258"/>
      <c r="L3" s="260"/>
      <c r="M3" s="258" t="s">
        <v>88</v>
      </c>
      <c r="N3" s="258"/>
      <c r="O3" s="258" t="s">
        <v>89</v>
      </c>
      <c r="P3" s="258"/>
    </row>
    <row r="4" spans="1:24" ht="16.5" customHeight="1" x14ac:dyDescent="0.3">
      <c r="A4" s="5" t="s">
        <v>0</v>
      </c>
      <c r="B4" s="4"/>
      <c r="C4" s="4"/>
      <c r="D4" s="4"/>
      <c r="E4" s="240" t="s">
        <v>145</v>
      </c>
      <c r="F4" s="71" t="s">
        <v>164</v>
      </c>
      <c r="G4" s="71" t="s">
        <v>166</v>
      </c>
      <c r="H4" s="108" t="s">
        <v>165</v>
      </c>
      <c r="L4" s="260"/>
      <c r="M4" s="80" t="s">
        <v>145</v>
      </c>
      <c r="N4" s="1" t="s">
        <v>164</v>
      </c>
      <c r="O4" s="71" t="s">
        <v>166</v>
      </c>
      <c r="P4" s="108" t="s">
        <v>165</v>
      </c>
    </row>
    <row r="5" spans="1:24" x14ac:dyDescent="0.25">
      <c r="A5" s="4"/>
      <c r="B5" s="4" t="s">
        <v>1</v>
      </c>
      <c r="C5" s="4" t="s">
        <v>2</v>
      </c>
      <c r="D5" s="43"/>
      <c r="E5" s="143">
        <v>600</v>
      </c>
      <c r="F5" s="143">
        <v>800</v>
      </c>
      <c r="G5" s="143">
        <v>450</v>
      </c>
      <c r="H5" s="144">
        <v>900</v>
      </c>
      <c r="L5" s="161">
        <v>0</v>
      </c>
      <c r="M5">
        <f>E5*(1+$L5)</f>
        <v>600</v>
      </c>
      <c r="N5">
        <f>F5*(1+$L5)</f>
        <v>800</v>
      </c>
      <c r="O5">
        <f>G5*(1+$L5)</f>
        <v>450</v>
      </c>
      <c r="P5">
        <f t="shared" ref="P5" si="0">H5*(1+$L5)</f>
        <v>900</v>
      </c>
    </row>
    <row r="6" spans="1:24" x14ac:dyDescent="0.25">
      <c r="A6" s="4"/>
      <c r="B6" s="4" t="s">
        <v>77</v>
      </c>
      <c r="C6" s="4" t="s">
        <v>2</v>
      </c>
      <c r="D6" s="43"/>
      <c r="E6" s="145">
        <v>1375</v>
      </c>
      <c r="F6" s="145">
        <f>1425</f>
        <v>1425</v>
      </c>
      <c r="G6" s="145">
        <v>1400</v>
      </c>
      <c r="H6" s="146">
        <v>1500</v>
      </c>
      <c r="L6" s="161">
        <v>0</v>
      </c>
      <c r="M6">
        <f>E6*(1+$L$6)</f>
        <v>1375</v>
      </c>
      <c r="N6">
        <f t="shared" ref="N6:P6" si="1">F6*(1+$L$6)</f>
        <v>1425</v>
      </c>
      <c r="O6">
        <f t="shared" si="1"/>
        <v>1400</v>
      </c>
      <c r="P6">
        <f t="shared" si="1"/>
        <v>1500</v>
      </c>
      <c r="S6" s="7"/>
      <c r="T6" s="7"/>
      <c r="U6" s="137"/>
      <c r="V6" s="7"/>
      <c r="W6" s="7"/>
      <c r="X6" s="7"/>
    </row>
    <row r="7" spans="1:24" x14ac:dyDescent="0.25">
      <c r="A7" s="4"/>
      <c r="B7" s="4" t="s">
        <v>103</v>
      </c>
      <c r="C7" s="4" t="s">
        <v>2</v>
      </c>
      <c r="D7" s="43"/>
      <c r="E7" s="106">
        <f>E6-E5</f>
        <v>775</v>
      </c>
      <c r="F7" s="106">
        <f t="shared" ref="F7:H7" si="2">F6-F5</f>
        <v>625</v>
      </c>
      <c r="G7" s="106">
        <f t="shared" si="2"/>
        <v>950</v>
      </c>
      <c r="H7" s="70">
        <f t="shared" si="2"/>
        <v>600</v>
      </c>
      <c r="L7" s="162"/>
      <c r="M7" s="106">
        <f>M6-M5</f>
        <v>775</v>
      </c>
      <c r="N7" s="106">
        <f t="shared" ref="N7:P7" si="3">N6-N5</f>
        <v>625</v>
      </c>
      <c r="O7" s="106">
        <f t="shared" si="3"/>
        <v>950</v>
      </c>
      <c r="P7" s="106">
        <f t="shared" si="3"/>
        <v>600</v>
      </c>
      <c r="S7" s="7"/>
      <c r="T7" s="7"/>
      <c r="U7" s="7"/>
      <c r="V7" s="7"/>
      <c r="W7" s="7"/>
      <c r="X7" s="7"/>
    </row>
    <row r="8" spans="1:24" ht="13" x14ac:dyDescent="0.3">
      <c r="A8" s="4"/>
      <c r="B8" s="4"/>
      <c r="C8" s="4"/>
      <c r="D8" s="43"/>
      <c r="E8" s="106"/>
      <c r="F8" s="106"/>
      <c r="G8" s="106"/>
      <c r="H8" s="70"/>
      <c r="L8" s="162"/>
      <c r="M8" s="106"/>
      <c r="N8" s="106"/>
      <c r="O8" s="106"/>
      <c r="P8" s="106"/>
      <c r="S8" s="7"/>
      <c r="T8" s="7"/>
      <c r="U8" s="254"/>
      <c r="V8" s="254"/>
      <c r="W8" s="254"/>
      <c r="X8" s="254"/>
    </row>
    <row r="9" spans="1:24" ht="13" x14ac:dyDescent="0.3">
      <c r="A9" s="5" t="s">
        <v>20</v>
      </c>
      <c r="B9" s="4"/>
      <c r="C9" s="4"/>
      <c r="D9" s="43"/>
      <c r="E9" s="4"/>
      <c r="F9" s="4"/>
      <c r="G9" s="4"/>
      <c r="H9" s="43"/>
      <c r="L9" s="162"/>
      <c r="S9" s="7"/>
      <c r="T9" s="7"/>
      <c r="U9" s="133"/>
      <c r="V9" s="139"/>
      <c r="W9" s="108"/>
      <c r="X9" s="108"/>
    </row>
    <row r="10" spans="1:24" ht="13" x14ac:dyDescent="0.3">
      <c r="A10" s="5"/>
      <c r="B10" s="101" t="s">
        <v>91</v>
      </c>
      <c r="C10" s="4"/>
      <c r="D10" s="43"/>
      <c r="E10" s="4"/>
      <c r="F10" s="6"/>
      <c r="G10" s="4"/>
      <c r="H10" s="43"/>
      <c r="L10" s="162"/>
      <c r="S10" s="43"/>
      <c r="T10" s="247"/>
      <c r="U10" s="248"/>
      <c r="V10" s="248"/>
      <c r="W10" s="248"/>
      <c r="X10" s="248"/>
    </row>
    <row r="11" spans="1:24" ht="13" x14ac:dyDescent="0.3">
      <c r="A11" s="5"/>
      <c r="B11" s="4" t="s">
        <v>78</v>
      </c>
      <c r="C11" s="4" t="s">
        <v>2</v>
      </c>
      <c r="D11" s="43"/>
      <c r="E11" s="134"/>
      <c r="F11" s="113"/>
      <c r="G11" s="147">
        <v>3.1</v>
      </c>
      <c r="H11" s="140"/>
      <c r="L11" s="161">
        <v>0</v>
      </c>
      <c r="M11" s="142"/>
      <c r="N11" s="114"/>
      <c r="O11" s="158">
        <f>G11*(1+$L11)</f>
        <v>3.1</v>
      </c>
      <c r="P11" s="114"/>
      <c r="S11" s="105"/>
      <c r="T11" s="105"/>
      <c r="U11" s="242"/>
      <c r="V11" s="242"/>
      <c r="W11" s="242"/>
      <c r="X11" s="242"/>
    </row>
    <row r="12" spans="1:24" ht="13" x14ac:dyDescent="0.3">
      <c r="A12" s="5"/>
      <c r="B12" t="s">
        <v>79</v>
      </c>
      <c r="C12" t="s">
        <v>23</v>
      </c>
      <c r="D12" s="43"/>
      <c r="E12" s="135"/>
      <c r="F12" s="113"/>
      <c r="G12" s="148">
        <v>6.75</v>
      </c>
      <c r="H12" s="140"/>
      <c r="L12" s="161">
        <v>0</v>
      </c>
      <c r="M12" s="142"/>
      <c r="N12" s="114"/>
      <c r="O12" s="158">
        <f>G12*(1+$L12)</f>
        <v>6.75</v>
      </c>
      <c r="P12" s="114"/>
      <c r="S12" s="105"/>
      <c r="T12" s="105"/>
      <c r="U12" s="242"/>
      <c r="V12" s="242"/>
      <c r="W12" s="242"/>
      <c r="X12" s="242"/>
    </row>
    <row r="13" spans="1:24" ht="13" x14ac:dyDescent="0.3">
      <c r="A13" s="5"/>
      <c r="B13" s="104" t="s">
        <v>94</v>
      </c>
      <c r="C13" s="4" t="s">
        <v>81</v>
      </c>
      <c r="D13" s="43"/>
      <c r="E13" s="136"/>
      <c r="F13" s="113"/>
      <c r="G13" s="141">
        <f>(G14-G5)/G11</f>
        <v>145.16129032258064</v>
      </c>
      <c r="H13" s="140"/>
      <c r="L13" s="162"/>
      <c r="M13" s="136"/>
      <c r="N13" s="114"/>
      <c r="O13" s="159">
        <f>(O14-O5)/O11</f>
        <v>145.16129032258064</v>
      </c>
      <c r="P13" s="114"/>
      <c r="S13" s="43"/>
      <c r="T13" s="105"/>
      <c r="U13" s="246"/>
      <c r="V13" s="246"/>
      <c r="W13" s="246"/>
      <c r="X13" s="246"/>
    </row>
    <row r="14" spans="1:24" ht="13" x14ac:dyDescent="0.3">
      <c r="A14" s="5"/>
      <c r="B14" s="105" t="s">
        <v>102</v>
      </c>
      <c r="C14" s="4"/>
      <c r="D14" s="43"/>
      <c r="E14" s="113"/>
      <c r="F14" s="113"/>
      <c r="G14" s="148">
        <v>900</v>
      </c>
      <c r="H14" s="140"/>
      <c r="L14" s="162"/>
      <c r="M14" s="135"/>
      <c r="N14" s="114"/>
      <c r="O14" s="160">
        <f>G14</f>
        <v>900</v>
      </c>
      <c r="P14" s="114"/>
      <c r="S14" s="105"/>
      <c r="T14" s="105"/>
      <c r="U14" s="242"/>
      <c r="V14" s="242"/>
      <c r="W14" s="242"/>
      <c r="X14" s="242"/>
    </row>
    <row r="15" spans="1:24" ht="13" x14ac:dyDescent="0.3">
      <c r="A15" s="5"/>
      <c r="B15" s="101" t="s">
        <v>92</v>
      </c>
      <c r="C15" s="4"/>
      <c r="D15" s="43"/>
      <c r="E15" s="4"/>
      <c r="F15" s="4"/>
      <c r="G15" s="104"/>
      <c r="H15" s="105"/>
      <c r="L15" s="162"/>
      <c r="S15" s="105"/>
      <c r="T15" s="105"/>
      <c r="U15" s="242"/>
      <c r="V15" s="242"/>
      <c r="W15" s="242"/>
      <c r="X15" s="242"/>
    </row>
    <row r="16" spans="1:24" x14ac:dyDescent="0.25">
      <c r="B16" s="4" t="s">
        <v>78</v>
      </c>
      <c r="C16" s="4" t="s">
        <v>2</v>
      </c>
      <c r="D16" s="52"/>
      <c r="E16" s="147">
        <v>3.36</v>
      </c>
      <c r="F16" s="147">
        <v>3.4</v>
      </c>
      <c r="G16" s="147">
        <v>2.94</v>
      </c>
      <c r="H16" s="147">
        <v>2.94</v>
      </c>
      <c r="L16" s="161">
        <v>0</v>
      </c>
      <c r="M16">
        <f t="shared" ref="M16:P17" si="4">E16*(1+$L16)</f>
        <v>3.36</v>
      </c>
      <c r="N16">
        <f t="shared" si="4"/>
        <v>3.4</v>
      </c>
      <c r="O16">
        <f t="shared" si="4"/>
        <v>2.94</v>
      </c>
      <c r="P16">
        <f t="shared" si="4"/>
        <v>2.94</v>
      </c>
      <c r="S16" s="7"/>
      <c r="T16" s="137"/>
      <c r="U16" s="243"/>
      <c r="V16" s="243"/>
      <c r="W16" s="243"/>
      <c r="X16" s="243"/>
    </row>
    <row r="17" spans="1:37" x14ac:dyDescent="0.25">
      <c r="A17" s="4"/>
      <c r="B17" t="s">
        <v>79</v>
      </c>
      <c r="C17" t="s">
        <v>23</v>
      </c>
      <c r="D17" s="7"/>
      <c r="E17" s="148">
        <v>6.5</v>
      </c>
      <c r="F17" s="148">
        <v>7.31</v>
      </c>
      <c r="G17" s="148">
        <v>7.75</v>
      </c>
      <c r="H17" s="148">
        <v>7.84</v>
      </c>
      <c r="L17" s="161">
        <v>0</v>
      </c>
      <c r="M17">
        <f t="shared" si="4"/>
        <v>6.5</v>
      </c>
      <c r="N17">
        <f t="shared" si="4"/>
        <v>7.31</v>
      </c>
      <c r="O17">
        <f t="shared" si="4"/>
        <v>7.75</v>
      </c>
      <c r="P17">
        <f t="shared" si="4"/>
        <v>7.84</v>
      </c>
      <c r="S17" s="137"/>
      <c r="T17" s="137"/>
      <c r="U17" s="241"/>
      <c r="V17" s="241"/>
      <c r="W17" s="241"/>
      <c r="X17" s="241"/>
    </row>
    <row r="18" spans="1:37" x14ac:dyDescent="0.25">
      <c r="A18" s="4"/>
      <c r="B18" s="104" t="s">
        <v>95</v>
      </c>
      <c r="C18" s="4" t="s">
        <v>81</v>
      </c>
      <c r="D18" s="52"/>
      <c r="E18" s="70">
        <f>((E6/(1-E21))-E5)/E16</f>
        <v>247.70585317460322</v>
      </c>
      <c r="F18" s="70">
        <f>((F6/(1-F21))-F5)/F16</f>
        <v>201.28676470588235</v>
      </c>
      <c r="G18" s="70">
        <f>((G6/(1-G21))-G14)/G16</f>
        <v>189.90929705215424</v>
      </c>
      <c r="H18" s="70">
        <f>((H6/(1-H21))-H5)/H16</f>
        <v>225.34013605442178</v>
      </c>
      <c r="L18" s="162"/>
      <c r="M18" s="70">
        <f>((M6/(1-M21))-M5)/M16</f>
        <v>247.70585317460322</v>
      </c>
      <c r="N18" s="70">
        <f>((N6/(1-N21))-N5)/N16</f>
        <v>201.28676470588235</v>
      </c>
      <c r="O18" s="70">
        <f>((O6/(1-O21))-O14)/O16</f>
        <v>189.90929705215424</v>
      </c>
      <c r="P18" s="70">
        <f>((P6/(1-P21))-P5)/P16</f>
        <v>225.34013605442178</v>
      </c>
      <c r="S18" s="137"/>
      <c r="T18" s="137"/>
      <c r="U18" s="242"/>
      <c r="V18" s="242"/>
      <c r="W18" s="242"/>
      <c r="X18" s="242"/>
    </row>
    <row r="19" spans="1:37" x14ac:dyDescent="0.25">
      <c r="A19" s="4"/>
      <c r="B19" s="102" t="s">
        <v>93</v>
      </c>
      <c r="E19" s="111">
        <f>E18</f>
        <v>247.70585317460322</v>
      </c>
      <c r="F19" s="111">
        <f>F18</f>
        <v>201.28676470588235</v>
      </c>
      <c r="G19" s="103">
        <f>G18+G13</f>
        <v>335.07058737473488</v>
      </c>
      <c r="H19" s="111">
        <f>H18</f>
        <v>225.34013605442178</v>
      </c>
      <c r="L19" s="162"/>
      <c r="M19" s="111">
        <f>M18</f>
        <v>247.70585317460322</v>
      </c>
      <c r="N19" s="111">
        <f>N18</f>
        <v>201.28676470588235</v>
      </c>
      <c r="O19" s="103">
        <f>O18+O13</f>
        <v>335.07058737473488</v>
      </c>
      <c r="P19" s="111">
        <f>P18</f>
        <v>225.34013605442178</v>
      </c>
      <c r="S19" s="7"/>
      <c r="T19" s="137"/>
      <c r="U19" s="243"/>
      <c r="V19" s="243"/>
      <c r="W19" s="243"/>
      <c r="X19" s="243"/>
    </row>
    <row r="20" spans="1:37" x14ac:dyDescent="0.25">
      <c r="B20" s="3" t="s">
        <v>21</v>
      </c>
      <c r="C20" t="s">
        <v>22</v>
      </c>
      <c r="D20" s="53"/>
      <c r="E20" s="149">
        <v>1.37E-2</v>
      </c>
      <c r="F20" s="149">
        <v>7.1000000000000004E-3</v>
      </c>
      <c r="G20" s="149">
        <v>3.1399999999999997E-2</v>
      </c>
      <c r="H20" s="149">
        <v>2.58E-2</v>
      </c>
      <c r="L20" s="161">
        <v>0</v>
      </c>
      <c r="M20" s="115">
        <f t="shared" ref="M20:P21" si="5">E20*(1+$L20)</f>
        <v>1.37E-2</v>
      </c>
      <c r="N20" s="115">
        <f t="shared" si="5"/>
        <v>7.1000000000000004E-3</v>
      </c>
      <c r="O20" s="115">
        <f t="shared" si="5"/>
        <v>3.1399999999999997E-2</v>
      </c>
      <c r="P20" s="115">
        <f t="shared" si="5"/>
        <v>2.58E-2</v>
      </c>
      <c r="S20" s="137"/>
      <c r="T20" s="137"/>
      <c r="U20" s="241"/>
      <c r="V20" s="241"/>
      <c r="W20" s="241"/>
      <c r="X20" s="241"/>
    </row>
    <row r="21" spans="1:37" x14ac:dyDescent="0.25">
      <c r="B21" t="s">
        <v>80</v>
      </c>
      <c r="C21" t="s">
        <v>22</v>
      </c>
      <c r="D21" s="53"/>
      <c r="E21" s="149">
        <v>0.04</v>
      </c>
      <c r="F21" s="149">
        <v>0.04</v>
      </c>
      <c r="G21" s="149">
        <v>0.04</v>
      </c>
      <c r="H21" s="149">
        <v>0.04</v>
      </c>
      <c r="L21" s="161">
        <v>0</v>
      </c>
      <c r="M21" s="115">
        <f>E21*(1+$L21)</f>
        <v>0.04</v>
      </c>
      <c r="N21" s="115">
        <f t="shared" si="5"/>
        <v>0.04</v>
      </c>
      <c r="O21" s="115">
        <f t="shared" si="5"/>
        <v>0.04</v>
      </c>
      <c r="P21" s="115">
        <f t="shared" si="5"/>
        <v>0.04</v>
      </c>
      <c r="S21" s="137"/>
      <c r="T21" s="137"/>
      <c r="U21" s="242"/>
      <c r="V21" s="242"/>
      <c r="W21" s="242"/>
      <c r="X21" s="242"/>
    </row>
    <row r="22" spans="1:37" x14ac:dyDescent="0.25">
      <c r="E22" s="163"/>
      <c r="F22" s="163"/>
      <c r="G22" s="163"/>
      <c r="H22" s="110"/>
      <c r="L22" s="163"/>
      <c r="S22" s="7"/>
      <c r="T22" s="137"/>
      <c r="U22" s="243"/>
      <c r="V22" s="243"/>
      <c r="W22" s="243"/>
      <c r="X22" s="243"/>
    </row>
    <row r="23" spans="1:37" ht="13" x14ac:dyDescent="0.3">
      <c r="A23" s="5" t="s">
        <v>16</v>
      </c>
      <c r="B23" s="4"/>
      <c r="C23" s="4"/>
      <c r="D23" s="43"/>
      <c r="E23" s="170"/>
      <c r="F23" s="170"/>
      <c r="G23" s="170"/>
      <c r="H23" s="171"/>
      <c r="L23" s="162"/>
      <c r="S23" s="137"/>
      <c r="T23" s="137"/>
      <c r="U23" s="7"/>
      <c r="V23" s="7"/>
      <c r="W23" s="241"/>
      <c r="X23" s="7"/>
    </row>
    <row r="24" spans="1:37" x14ac:dyDescent="0.25">
      <c r="A24" s="4"/>
      <c r="B24" s="4" t="s">
        <v>3</v>
      </c>
      <c r="C24" s="4" t="s">
        <v>4</v>
      </c>
      <c r="D24" s="44"/>
      <c r="E24" s="150">
        <v>152</v>
      </c>
      <c r="F24" s="150">
        <v>136</v>
      </c>
      <c r="G24" s="150">
        <v>120</v>
      </c>
      <c r="H24" s="151">
        <v>103</v>
      </c>
      <c r="L24" s="161">
        <v>0</v>
      </c>
      <c r="M24" s="109">
        <f t="shared" ref="M24:P25" si="6">E24*(1+$L24)</f>
        <v>152</v>
      </c>
      <c r="N24" s="109">
        <f t="shared" si="6"/>
        <v>136</v>
      </c>
      <c r="O24" s="109">
        <f t="shared" si="6"/>
        <v>120</v>
      </c>
      <c r="P24" s="109">
        <f t="shared" si="6"/>
        <v>103</v>
      </c>
      <c r="S24" s="137"/>
      <c r="T24" s="137"/>
      <c r="U24" s="7"/>
      <c r="V24" s="7"/>
      <c r="W24" s="241"/>
      <c r="X24" s="7"/>
    </row>
    <row r="25" spans="1:37" x14ac:dyDescent="0.25">
      <c r="A25" s="4"/>
      <c r="B25" s="4" t="s">
        <v>5</v>
      </c>
      <c r="C25" s="4" t="s">
        <v>4</v>
      </c>
      <c r="D25" s="44"/>
      <c r="E25" s="150">
        <v>115</v>
      </c>
      <c r="F25" s="150">
        <v>113</v>
      </c>
      <c r="G25" s="150">
        <f>115-12</f>
        <v>103</v>
      </c>
      <c r="H25" s="150">
        <f>113-12</f>
        <v>101</v>
      </c>
      <c r="I25" s="3" t="s">
        <v>167</v>
      </c>
      <c r="L25" s="161">
        <v>0</v>
      </c>
      <c r="M25" s="109">
        <f t="shared" si="6"/>
        <v>115</v>
      </c>
      <c r="N25" s="109">
        <f t="shared" si="6"/>
        <v>113</v>
      </c>
      <c r="O25" s="109">
        <f t="shared" si="6"/>
        <v>103</v>
      </c>
      <c r="P25" s="109">
        <f t="shared" si="6"/>
        <v>101</v>
      </c>
      <c r="S25" s="7"/>
      <c r="T25" s="137"/>
      <c r="U25" s="7"/>
      <c r="V25" s="7"/>
      <c r="W25" s="244"/>
      <c r="X25" s="7"/>
    </row>
    <row r="26" spans="1:37" x14ac:dyDescent="0.25">
      <c r="L26" s="163"/>
      <c r="S26" s="137"/>
      <c r="T26" s="137"/>
      <c r="U26" s="7"/>
      <c r="V26" s="7"/>
      <c r="W26" s="241"/>
      <c r="X26" s="7"/>
    </row>
    <row r="27" spans="1:37" x14ac:dyDescent="0.25">
      <c r="L27" s="163"/>
      <c r="S27" s="137"/>
      <c r="T27" s="137"/>
      <c r="U27" s="7"/>
      <c r="V27" s="7"/>
      <c r="W27" s="241"/>
      <c r="X27" s="7"/>
    </row>
    <row r="28" spans="1:37" ht="13" x14ac:dyDescent="0.3">
      <c r="E28" s="258" t="s">
        <v>88</v>
      </c>
      <c r="F28" s="258"/>
      <c r="G28" s="258" t="s">
        <v>89</v>
      </c>
      <c r="H28" s="258"/>
      <c r="L28" s="163"/>
      <c r="S28" s="7"/>
      <c r="T28" s="137"/>
      <c r="U28" s="7"/>
      <c r="V28" s="7"/>
      <c r="W28" s="244"/>
      <c r="X28" s="7"/>
    </row>
    <row r="29" spans="1:37" s="121" customFormat="1" ht="13" x14ac:dyDescent="0.3">
      <c r="A29" s="82" t="s">
        <v>146</v>
      </c>
      <c r="D29" s="122"/>
      <c r="E29" s="252" t="s">
        <v>145</v>
      </c>
      <c r="F29" s="250" t="s">
        <v>164</v>
      </c>
      <c r="G29" s="250" t="s">
        <v>166</v>
      </c>
      <c r="H29" s="251" t="s">
        <v>165</v>
      </c>
      <c r="J29" s="123"/>
      <c r="K29" s="122"/>
      <c r="L29" s="164"/>
      <c r="S29" s="137"/>
      <c r="T29" s="105"/>
      <c r="U29" s="245"/>
      <c r="V29" s="242"/>
      <c r="W29" s="242"/>
      <c r="X29" s="242"/>
      <c r="Y29" s="4"/>
      <c r="Z29" s="4"/>
      <c r="AA29" s="4"/>
      <c r="AB29" s="4"/>
      <c r="AC29" s="4"/>
      <c r="AD29" s="4"/>
      <c r="AE29" s="4"/>
      <c r="AF29" s="4"/>
      <c r="AG29" s="4"/>
      <c r="AH29" s="4"/>
      <c r="AI29" s="4"/>
      <c r="AJ29" s="4"/>
      <c r="AK29" s="4"/>
    </row>
    <row r="30" spans="1:37" x14ac:dyDescent="0.25">
      <c r="A30" s="4"/>
      <c r="B30" s="4" t="s">
        <v>17</v>
      </c>
      <c r="C30" s="4" t="s">
        <v>6</v>
      </c>
      <c r="D30" s="43"/>
      <c r="E30" s="6">
        <f>((E6*(E25/100)))+E69</f>
        <v>1583.9747643849205</v>
      </c>
      <c r="F30" s="6">
        <f>((F6*(F25/100)))+F69</f>
        <v>1612.4641544117644</v>
      </c>
      <c r="G30" s="6">
        <f>((G6*(G25/100)))+G69</f>
        <v>1445.685776461122</v>
      </c>
      <c r="H30" s="44">
        <f>((H6*(H25/100)))+H69</f>
        <v>1517.4787414965986</v>
      </c>
      <c r="L30" s="162"/>
      <c r="M30" s="6">
        <f>((M6*(M25/100)))+M69</f>
        <v>1583.9747643849205</v>
      </c>
      <c r="N30" s="6">
        <f>((N6*(N25/100)))+N69</f>
        <v>1612.4641544117644</v>
      </c>
      <c r="O30" s="6">
        <f>((O6*(O25/100)))+O69</f>
        <v>1445.685776461122</v>
      </c>
      <c r="P30" s="44">
        <f>((P6*(P25/100)))+P69</f>
        <v>1517.4787414965986</v>
      </c>
      <c r="S30" s="137"/>
      <c r="T30" s="105"/>
      <c r="U30" s="242"/>
      <c r="V30" s="242"/>
      <c r="W30" s="242"/>
      <c r="X30" s="242"/>
    </row>
    <row r="31" spans="1:37" x14ac:dyDescent="0.25">
      <c r="A31" s="43"/>
      <c r="B31" s="4" t="s">
        <v>18</v>
      </c>
      <c r="C31" s="4" t="s">
        <v>6</v>
      </c>
      <c r="D31" s="43"/>
      <c r="E31" s="6">
        <f>(E5*(E24/100))</f>
        <v>912</v>
      </c>
      <c r="F31" s="6">
        <f>(F5*(F24/100))</f>
        <v>1088</v>
      </c>
      <c r="G31" s="6">
        <f>(G5*(G24/100))</f>
        <v>540</v>
      </c>
      <c r="H31" s="44">
        <f>(H5*(H24/100))</f>
        <v>927</v>
      </c>
      <c r="L31" s="162"/>
      <c r="M31" s="6">
        <f>(M5*(M24/100))</f>
        <v>912</v>
      </c>
      <c r="N31" s="6">
        <f>(N5*(N24/100))</f>
        <v>1088</v>
      </c>
      <c r="O31" s="6">
        <f>(O5*(O24/100))</f>
        <v>540</v>
      </c>
      <c r="P31" s="44">
        <f>(P5*(P24/100))</f>
        <v>927</v>
      </c>
      <c r="S31" s="7"/>
      <c r="T31" s="105"/>
      <c r="U31" s="246"/>
      <c r="V31" s="246"/>
      <c r="W31" s="246"/>
      <c r="X31" s="246"/>
    </row>
    <row r="32" spans="1:37" x14ac:dyDescent="0.25">
      <c r="B32" t="s">
        <v>21</v>
      </c>
      <c r="C32" t="s">
        <v>6</v>
      </c>
      <c r="D32" s="14"/>
      <c r="E32" s="14">
        <f>E31*E20</f>
        <v>12.494400000000001</v>
      </c>
      <c r="F32" s="14">
        <f>F31*F20</f>
        <v>7.7248000000000001</v>
      </c>
      <c r="G32" s="14">
        <f>G31*G20</f>
        <v>16.956</v>
      </c>
      <c r="H32" s="14">
        <f>H31*H20</f>
        <v>23.916599999999999</v>
      </c>
      <c r="L32" s="165"/>
      <c r="M32" s="14">
        <f>M31*M20</f>
        <v>12.494400000000001</v>
      </c>
      <c r="N32" s="14">
        <f>N31*N20</f>
        <v>7.7248000000000001</v>
      </c>
      <c r="O32" s="14">
        <f>O31*O20</f>
        <v>16.956</v>
      </c>
      <c r="P32" s="14">
        <f>P31*P20</f>
        <v>23.916599999999999</v>
      </c>
      <c r="S32" s="137"/>
      <c r="T32" s="105"/>
      <c r="U32" s="242"/>
      <c r="V32" s="242"/>
      <c r="W32" s="242"/>
      <c r="X32" s="242"/>
    </row>
    <row r="33" spans="1:37" s="121" customFormat="1" ht="13" x14ac:dyDescent="0.3">
      <c r="B33" s="124" t="s">
        <v>19</v>
      </c>
      <c r="C33" s="82" t="s">
        <v>6</v>
      </c>
      <c r="D33" s="125"/>
      <c r="E33" s="126">
        <f>E30-E31-E32</f>
        <v>659.48036438492045</v>
      </c>
      <c r="F33" s="126">
        <f>F30-F31-F32</f>
        <v>516.73935441176445</v>
      </c>
      <c r="G33" s="126">
        <f>G30-G31-G32</f>
        <v>888.72977646112201</v>
      </c>
      <c r="H33" s="126">
        <f>H30-H31-H32</f>
        <v>566.56214149659854</v>
      </c>
      <c r="J33" s="123"/>
      <c r="K33" s="122"/>
      <c r="L33" s="164"/>
      <c r="M33" s="156">
        <f>M30-M31-M32</f>
        <v>659.48036438492045</v>
      </c>
      <c r="N33" s="156">
        <f>N30-N31-N32</f>
        <v>516.73935441176445</v>
      </c>
      <c r="O33" s="156">
        <f>O30-O31-O32</f>
        <v>888.72977646112201</v>
      </c>
      <c r="P33" s="156">
        <f>P30-P31-P32</f>
        <v>566.56214149659854</v>
      </c>
      <c r="S33" s="137"/>
      <c r="T33" s="105"/>
      <c r="U33" s="242"/>
      <c r="V33" s="242"/>
      <c r="W33" s="242"/>
      <c r="X33" s="242"/>
      <c r="Y33" s="4"/>
      <c r="Z33" s="4"/>
      <c r="AA33" s="4"/>
      <c r="AB33" s="4"/>
      <c r="AC33" s="4"/>
      <c r="AD33" s="4"/>
      <c r="AE33" s="4"/>
      <c r="AF33" s="4"/>
      <c r="AG33" s="4"/>
      <c r="AH33" s="4"/>
      <c r="AI33" s="4"/>
      <c r="AJ33" s="4"/>
      <c r="AK33" s="4"/>
    </row>
    <row r="34" spans="1:37" x14ac:dyDescent="0.25">
      <c r="L34" s="163"/>
      <c r="S34" s="7"/>
      <c r="T34" s="105"/>
      <c r="U34" s="246"/>
      <c r="V34" s="246"/>
      <c r="W34" s="246"/>
      <c r="X34" s="246"/>
    </row>
    <row r="35" spans="1:37" x14ac:dyDescent="0.25">
      <c r="L35" s="163"/>
      <c r="S35" s="137"/>
      <c r="T35" s="105"/>
      <c r="U35" s="242"/>
      <c r="V35" s="242"/>
      <c r="W35" s="242"/>
      <c r="X35" s="242"/>
    </row>
    <row r="36" spans="1:37" s="121" customFormat="1" ht="13" x14ac:dyDescent="0.3">
      <c r="A36" s="125" t="s">
        <v>148</v>
      </c>
      <c r="H36" s="122"/>
      <c r="J36" s="123"/>
      <c r="K36" s="122"/>
      <c r="L36" s="164"/>
      <c r="S36" s="137"/>
      <c r="T36" s="105"/>
      <c r="U36" s="242"/>
      <c r="V36" s="242"/>
      <c r="W36" s="242"/>
      <c r="X36" s="242"/>
      <c r="Y36" s="4"/>
      <c r="Z36" s="4"/>
      <c r="AA36" s="4"/>
      <c r="AB36" s="4"/>
      <c r="AC36" s="4"/>
      <c r="AD36" s="4"/>
      <c r="AE36" s="4"/>
      <c r="AF36" s="4"/>
      <c r="AG36" s="4"/>
      <c r="AH36" s="4"/>
      <c r="AI36" s="4"/>
      <c r="AJ36" s="4"/>
      <c r="AK36" s="4"/>
    </row>
    <row r="37" spans="1:37" ht="13" x14ac:dyDescent="0.3">
      <c r="A37" s="1" t="s">
        <v>24</v>
      </c>
      <c r="D37" s="7"/>
      <c r="L37" s="162"/>
      <c r="S37" s="7"/>
      <c r="T37" s="105"/>
      <c r="U37" s="246"/>
      <c r="V37" s="246"/>
      <c r="W37" s="246"/>
      <c r="X37" s="246"/>
    </row>
    <row r="38" spans="1:37" ht="13" x14ac:dyDescent="0.3">
      <c r="A38" s="1"/>
      <c r="B38" s="3" t="s">
        <v>99</v>
      </c>
      <c r="C38" t="s">
        <v>25</v>
      </c>
      <c r="D38" s="7"/>
      <c r="E38" s="116"/>
      <c r="F38" s="114"/>
      <c r="G38" s="2">
        <f>'Feedlot feed- Holstein Grower'!B22</f>
        <v>160.48465778478055</v>
      </c>
      <c r="H38" s="114"/>
      <c r="L38" s="189"/>
      <c r="M38" s="114"/>
      <c r="N38" s="114"/>
      <c r="O38" s="191">
        <f>G38</f>
        <v>160.48465778478055</v>
      </c>
      <c r="P38" s="114"/>
      <c r="S38" s="137"/>
      <c r="T38" s="105"/>
      <c r="U38" s="242"/>
      <c r="V38" s="242"/>
      <c r="W38" s="242"/>
      <c r="X38" s="242"/>
    </row>
    <row r="39" spans="1:37" ht="13" x14ac:dyDescent="0.3">
      <c r="A39" s="1"/>
      <c r="B39" s="3" t="s">
        <v>100</v>
      </c>
      <c r="C39" t="s">
        <v>25</v>
      </c>
      <c r="D39" s="7"/>
      <c r="E39" s="116"/>
      <c r="F39" s="114"/>
      <c r="G39" s="2">
        <f>'Feedlot feed- Holstein Grower'!B21</f>
        <v>231.41262838468717</v>
      </c>
      <c r="H39" s="114"/>
      <c r="L39" s="161">
        <v>0</v>
      </c>
      <c r="M39" s="114"/>
      <c r="N39" s="114"/>
      <c r="O39" s="191">
        <f t="shared" ref="O39:P42" si="7">G39*(1+$L39)</f>
        <v>231.41262838468717</v>
      </c>
      <c r="P39" s="114"/>
      <c r="S39" s="137"/>
      <c r="T39" s="105"/>
      <c r="U39" s="242"/>
      <c r="V39" s="242"/>
      <c r="W39" s="242"/>
      <c r="X39" s="242"/>
    </row>
    <row r="40" spans="1:37" ht="13" x14ac:dyDescent="0.3">
      <c r="A40" s="1"/>
      <c r="B40" s="3" t="s">
        <v>101</v>
      </c>
      <c r="C40" t="s">
        <v>6</v>
      </c>
      <c r="D40" s="7"/>
      <c r="E40" s="116"/>
      <c r="F40" s="114"/>
      <c r="G40" s="2">
        <f>(G14-G5)*(G39/2000)*G12</f>
        <v>351.45792935924368</v>
      </c>
      <c r="H40" s="114"/>
      <c r="L40" s="162"/>
      <c r="M40" s="116"/>
      <c r="N40" s="116"/>
      <c r="O40" s="190">
        <f>(O14-O5)*(O39/2000)*O12</f>
        <v>351.45792935924368</v>
      </c>
      <c r="P40" s="116"/>
      <c r="S40" s="7"/>
      <c r="T40" s="105"/>
      <c r="U40" s="246"/>
      <c r="V40" s="246"/>
      <c r="W40" s="246"/>
      <c r="X40" s="246"/>
    </row>
    <row r="41" spans="1:37" x14ac:dyDescent="0.25">
      <c r="B41" s="3" t="s">
        <v>96</v>
      </c>
      <c r="C41" t="s">
        <v>25</v>
      </c>
      <c r="D41" s="7"/>
      <c r="E41" s="14">
        <f>'Feedlot feed-Beef Finisher'!$B22</f>
        <v>185.87017195378152</v>
      </c>
      <c r="F41" s="14">
        <f>'Feedlot feed-Beef Finisher'!$B22</f>
        <v>185.87017195378152</v>
      </c>
      <c r="G41" s="14">
        <f>'Feedlot feed-Holstein Finisher'!$B22</f>
        <v>185.87017195378152</v>
      </c>
      <c r="H41" s="14">
        <f>'Feedlot feed-Holstein Finisher'!$B22</f>
        <v>185.87017195378152</v>
      </c>
      <c r="L41" s="189"/>
      <c r="M41" s="118">
        <f t="shared" ref="M41:M42" si="8">E41*(1+$L41)</f>
        <v>185.87017195378152</v>
      </c>
      <c r="N41" s="118">
        <f t="shared" ref="N41" si="9">F41*(1+$L41)</f>
        <v>185.87017195378152</v>
      </c>
      <c r="O41" s="118">
        <f>G41</f>
        <v>185.87017195378152</v>
      </c>
      <c r="P41" s="118">
        <f t="shared" si="7"/>
        <v>185.87017195378152</v>
      </c>
      <c r="S41" s="137"/>
      <c r="T41" s="105"/>
      <c r="U41" s="242"/>
      <c r="V41" s="242"/>
      <c r="W41" s="242"/>
      <c r="X41" s="242"/>
    </row>
    <row r="42" spans="1:37" x14ac:dyDescent="0.25">
      <c r="B42" s="3" t="s">
        <v>97</v>
      </c>
      <c r="C42" t="s">
        <v>25</v>
      </c>
      <c r="D42" s="7"/>
      <c r="E42" s="14">
        <f>'Feedlot feed-Beef Finisher'!B21</f>
        <v>243.44488795518208</v>
      </c>
      <c r="F42" s="14">
        <f>'Feedlot feed-Beef Finisher'!$B21</f>
        <v>243.44488795518208</v>
      </c>
      <c r="G42" s="14">
        <f>'Feedlot feed-Holstein Finisher'!$B21</f>
        <v>243.44488795518208</v>
      </c>
      <c r="H42" s="14">
        <f>'Feedlot feed-Holstein Finisher'!$B21</f>
        <v>243.44488795518208</v>
      </c>
      <c r="L42" s="161">
        <v>0</v>
      </c>
      <c r="M42" s="118">
        <f t="shared" si="8"/>
        <v>243.44488795518208</v>
      </c>
      <c r="N42" s="118">
        <f>F42*(1+$L42)</f>
        <v>243.44488795518208</v>
      </c>
      <c r="O42" s="118">
        <f>G42*(1+$L42)</f>
        <v>243.44488795518208</v>
      </c>
      <c r="P42" s="118">
        <f t="shared" si="7"/>
        <v>243.44488795518208</v>
      </c>
      <c r="S42" s="137"/>
      <c r="T42" s="105"/>
      <c r="U42" s="242"/>
      <c r="V42" s="242"/>
      <c r="W42" s="242"/>
      <c r="X42" s="242"/>
    </row>
    <row r="43" spans="1:37" x14ac:dyDescent="0.25">
      <c r="B43" s="3" t="s">
        <v>98</v>
      </c>
      <c r="C43" t="s">
        <v>6</v>
      </c>
      <c r="D43" s="7"/>
      <c r="E43" s="14">
        <f>((E6/(1-E21))-E5)*(E42/2000)*E17</f>
        <v>658.5057424975198</v>
      </c>
      <c r="F43" s="14">
        <f>((F6/(1-F21))-F5)*(F42/2000)*F17</f>
        <v>608.95076043526785</v>
      </c>
      <c r="G43" s="14">
        <f>((G6/(1-G21))-G14)*(G42/2000)*G17</f>
        <v>526.70315862803466</v>
      </c>
      <c r="H43" s="14">
        <f>((H6/(1-H21))-H5)*(H42/2000)*H17</f>
        <v>632.22637401960776</v>
      </c>
      <c r="L43" s="63"/>
      <c r="M43" s="14">
        <f>((M6/(1-M21))-M5)*(M42/2000)*M17</f>
        <v>658.5057424975198</v>
      </c>
      <c r="N43" s="14">
        <f>((N6/(1-N21))-N5)*(N42/2000)*N17</f>
        <v>608.95076043526785</v>
      </c>
      <c r="O43" s="14">
        <f>((O6/(1-O21))-O14)*(O42/2000)*O17</f>
        <v>526.70315862803466</v>
      </c>
      <c r="P43" s="14">
        <f>((P6/(1-P21))-P5)*(P42/2000)*P17</f>
        <v>632.22637401960776</v>
      </c>
      <c r="S43" s="7"/>
      <c r="T43" s="105"/>
      <c r="U43" s="246"/>
      <c r="V43" s="246"/>
      <c r="W43" s="246"/>
      <c r="X43" s="246"/>
    </row>
    <row r="44" spans="1:37" ht="13" x14ac:dyDescent="0.3">
      <c r="A44" s="128" t="s">
        <v>149</v>
      </c>
      <c r="D44" s="7"/>
      <c r="E44" s="119">
        <f>E43</f>
        <v>658.5057424975198</v>
      </c>
      <c r="F44" s="119">
        <f>F43</f>
        <v>608.95076043526785</v>
      </c>
      <c r="G44" s="119">
        <f>G43+G40</f>
        <v>878.16108798727828</v>
      </c>
      <c r="H44" s="119">
        <f>H43</f>
        <v>632.22637401960776</v>
      </c>
      <c r="L44" s="63"/>
      <c r="M44" s="157">
        <f>M43+M40</f>
        <v>658.5057424975198</v>
      </c>
      <c r="N44" s="157">
        <f t="shared" ref="N44" si="10">N43+N40</f>
        <v>608.95076043526785</v>
      </c>
      <c r="O44" s="157">
        <f t="shared" ref="O44" si="11">O43+O40</f>
        <v>878.16108798727828</v>
      </c>
      <c r="P44" s="157">
        <f t="shared" ref="P44" si="12">P43+P40</f>
        <v>632.22637401960776</v>
      </c>
      <c r="S44" s="137"/>
      <c r="T44" s="137"/>
      <c r="U44" s="7"/>
      <c r="V44" s="7"/>
      <c r="W44" s="241"/>
      <c r="X44" s="7"/>
    </row>
    <row r="45" spans="1:37" ht="13" x14ac:dyDescent="0.3">
      <c r="A45" s="128" t="s">
        <v>147</v>
      </c>
      <c r="D45" s="7"/>
      <c r="E45" s="119">
        <f>(E44/E7)*100</f>
        <v>84.968482902905791</v>
      </c>
      <c r="F45" s="119">
        <f>(F44/F7)*100</f>
        <v>97.432121669642854</v>
      </c>
      <c r="G45" s="119">
        <f>(G44/G7)*100</f>
        <v>92.438009261818763</v>
      </c>
      <c r="H45" s="119">
        <f>(H44/H7)*100</f>
        <v>105.3710623366013</v>
      </c>
      <c r="L45" s="63"/>
      <c r="M45" s="157">
        <f>(M44/M7)*100</f>
        <v>84.968482902905791</v>
      </c>
      <c r="N45" s="157">
        <f>(N44/N7)*100</f>
        <v>97.432121669642854</v>
      </c>
      <c r="O45" s="157">
        <f>(O44/O7)*100</f>
        <v>92.438009261818763</v>
      </c>
      <c r="P45" s="157">
        <f>(P44/P7)*100</f>
        <v>105.3710623366013</v>
      </c>
      <c r="S45" s="137"/>
      <c r="T45" s="137"/>
      <c r="U45" s="7"/>
      <c r="V45" s="7"/>
      <c r="W45" s="241"/>
      <c r="X45" s="7"/>
    </row>
    <row r="46" spans="1:37" x14ac:dyDescent="0.25">
      <c r="B46" s="3"/>
      <c r="D46" s="7"/>
      <c r="E46" s="14"/>
      <c r="F46" s="14"/>
      <c r="G46" s="14"/>
      <c r="H46" s="14"/>
      <c r="L46" s="63"/>
      <c r="M46" s="14"/>
      <c r="N46" s="14"/>
      <c r="O46" s="14"/>
      <c r="P46" s="14"/>
      <c r="S46" s="7"/>
      <c r="T46" s="137"/>
      <c r="U46" s="7"/>
      <c r="V46" s="7"/>
      <c r="W46" s="243"/>
      <c r="X46" s="7"/>
    </row>
    <row r="47" spans="1:37" ht="13" x14ac:dyDescent="0.3">
      <c r="A47" s="139" t="s">
        <v>154</v>
      </c>
      <c r="D47" s="7"/>
      <c r="L47" s="63"/>
      <c r="S47" s="137"/>
      <c r="T47" s="105"/>
      <c r="U47" s="242"/>
      <c r="V47" s="242"/>
      <c r="W47" s="242"/>
      <c r="X47" s="242"/>
    </row>
    <row r="48" spans="1:37" ht="13" x14ac:dyDescent="0.3">
      <c r="A48" s="1"/>
      <c r="B48" t="s">
        <v>82</v>
      </c>
      <c r="D48" s="7"/>
      <c r="L48" s="63"/>
      <c r="S48" s="137"/>
      <c r="T48" s="105"/>
      <c r="U48" s="242"/>
      <c r="V48" s="242"/>
      <c r="W48" s="242"/>
      <c r="X48" s="242"/>
    </row>
    <row r="49" spans="1:24" ht="13" x14ac:dyDescent="0.3">
      <c r="A49" s="1"/>
      <c r="B49" t="s">
        <v>83</v>
      </c>
      <c r="C49" t="s">
        <v>84</v>
      </c>
      <c r="D49" s="14"/>
      <c r="E49" s="81">
        <f>Yardage!$D$27</f>
        <v>0.91944444444444429</v>
      </c>
      <c r="F49" s="81">
        <f>Yardage!$D$27</f>
        <v>0.91944444444444429</v>
      </c>
      <c r="G49" s="81">
        <f>Yardage!$D$27</f>
        <v>0.91944444444444429</v>
      </c>
      <c r="H49" s="81">
        <f>Yardage!$D$27</f>
        <v>0.91944444444444429</v>
      </c>
      <c r="L49" s="161">
        <v>0</v>
      </c>
      <c r="M49" s="167">
        <f>E49*(1+$L49)</f>
        <v>0.91944444444444429</v>
      </c>
      <c r="N49" s="167">
        <f t="shared" ref="N49:P49" si="13">F49*(1+$L49)</f>
        <v>0.91944444444444429</v>
      </c>
      <c r="O49" s="167">
        <f t="shared" si="13"/>
        <v>0.91944444444444429</v>
      </c>
      <c r="P49" s="167">
        <f t="shared" si="13"/>
        <v>0.91944444444444429</v>
      </c>
      <c r="S49" s="7"/>
      <c r="T49" s="105"/>
      <c r="U49" s="246"/>
      <c r="V49" s="246"/>
      <c r="W49" s="246"/>
      <c r="X49" s="246"/>
    </row>
    <row r="50" spans="1:24" ht="13" x14ac:dyDescent="0.3">
      <c r="A50" s="1"/>
      <c r="B50" t="s">
        <v>85</v>
      </c>
      <c r="C50" t="s">
        <v>6</v>
      </c>
      <c r="D50" s="7"/>
      <c r="E50" s="81">
        <f>E49*E19</f>
        <v>227.75177055776015</v>
      </c>
      <c r="F50" s="81">
        <f>F49*F19</f>
        <v>185.07199754901958</v>
      </c>
      <c r="G50" s="81">
        <f>G49*G19</f>
        <v>308.07879005843677</v>
      </c>
      <c r="H50" s="81">
        <f>H49*H19</f>
        <v>207.18773620559332</v>
      </c>
      <c r="L50" s="165"/>
      <c r="M50" s="81">
        <f>M49*M19</f>
        <v>227.75177055776015</v>
      </c>
      <c r="N50" s="81">
        <f>N49*N19</f>
        <v>185.07199754901958</v>
      </c>
      <c r="O50" s="81">
        <f>O49*O19</f>
        <v>308.07879005843677</v>
      </c>
      <c r="P50" s="81">
        <f>P49*P19</f>
        <v>207.18773620559332</v>
      </c>
      <c r="S50" s="137"/>
      <c r="T50" s="105"/>
      <c r="U50" s="242"/>
      <c r="V50" s="242"/>
      <c r="W50" s="242"/>
      <c r="X50" s="242"/>
    </row>
    <row r="51" spans="1:24" ht="13" x14ac:dyDescent="0.3">
      <c r="A51" s="1"/>
      <c r="B51" t="s">
        <v>31</v>
      </c>
      <c r="C51" t="s">
        <v>6</v>
      </c>
      <c r="D51" s="14"/>
      <c r="E51" s="152">
        <v>30</v>
      </c>
      <c r="F51" s="152">
        <v>20</v>
      </c>
      <c r="G51" s="152">
        <v>35</v>
      </c>
      <c r="H51" s="153">
        <v>20</v>
      </c>
      <c r="L51" s="161">
        <v>0</v>
      </c>
      <c r="M51" s="167">
        <f>E51*(1+$L51)</f>
        <v>30</v>
      </c>
      <c r="N51" s="167">
        <f t="shared" ref="N51:P51" si="14">F51*(1+$L51)</f>
        <v>20</v>
      </c>
      <c r="O51" s="167">
        <f t="shared" si="14"/>
        <v>35</v>
      </c>
      <c r="P51" s="167">
        <f t="shared" si="14"/>
        <v>20</v>
      </c>
      <c r="S51" s="137"/>
      <c r="T51" s="105"/>
      <c r="U51" s="242"/>
      <c r="V51" s="242"/>
      <c r="W51" s="242"/>
      <c r="X51" s="242"/>
    </row>
    <row r="52" spans="1:24" x14ac:dyDescent="0.25">
      <c r="B52" t="s">
        <v>26</v>
      </c>
      <c r="D52" s="7"/>
      <c r="E52" s="163"/>
      <c r="F52" s="163"/>
      <c r="G52" s="163"/>
      <c r="H52" s="110"/>
      <c r="L52" s="165"/>
      <c r="M52" s="168"/>
      <c r="N52" s="168"/>
      <c r="O52" s="168"/>
      <c r="P52" s="168"/>
      <c r="S52" s="7"/>
      <c r="T52" s="105"/>
      <c r="U52" s="246"/>
      <c r="V52" s="246"/>
      <c r="W52" s="246"/>
      <c r="X52" s="246"/>
    </row>
    <row r="53" spans="1:24" x14ac:dyDescent="0.25">
      <c r="B53" t="s">
        <v>27</v>
      </c>
      <c r="C53" t="s">
        <v>6</v>
      </c>
      <c r="D53" s="14"/>
      <c r="E53" s="152">
        <f>0.5*(E6/100)</f>
        <v>6.875</v>
      </c>
      <c r="F53" s="152">
        <f t="shared" ref="F53:H53" si="15">0.5*(F6/100)</f>
        <v>7.125</v>
      </c>
      <c r="G53" s="152">
        <f t="shared" si="15"/>
        <v>7</v>
      </c>
      <c r="H53" s="152">
        <f t="shared" si="15"/>
        <v>7.5</v>
      </c>
      <c r="L53" s="161">
        <v>0</v>
      </c>
      <c r="M53" s="167">
        <f>E53*(1+$L53)</f>
        <v>6.875</v>
      </c>
      <c r="N53" s="167">
        <f t="shared" ref="N53" si="16">F53*(1+$L53)</f>
        <v>7.125</v>
      </c>
      <c r="O53" s="167">
        <f t="shared" ref="O53" si="17">G53*(1+$L53)</f>
        <v>7</v>
      </c>
      <c r="P53" s="167">
        <f t="shared" ref="P53" si="18">H53*(1+$L53)</f>
        <v>7.5</v>
      </c>
      <c r="S53" s="137"/>
      <c r="T53" s="105"/>
      <c r="U53" s="242"/>
      <c r="V53" s="242"/>
      <c r="W53" s="242"/>
      <c r="X53" s="242"/>
    </row>
    <row r="54" spans="1:24" x14ac:dyDescent="0.25">
      <c r="B54" s="137" t="s">
        <v>28</v>
      </c>
      <c r="C54" t="s">
        <v>6</v>
      </c>
      <c r="D54" s="14"/>
      <c r="E54" s="152">
        <f>3.5*(E6/100)</f>
        <v>48.125</v>
      </c>
      <c r="F54" s="152">
        <f>3.5*(F6/100)</f>
        <v>49.875</v>
      </c>
      <c r="G54" s="153">
        <v>20</v>
      </c>
      <c r="H54" s="153">
        <v>20</v>
      </c>
      <c r="L54" s="161">
        <v>0</v>
      </c>
      <c r="M54" s="167">
        <f t="shared" ref="M54:M57" si="19">E54*(1+$L54)</f>
        <v>48.125</v>
      </c>
      <c r="N54" s="167">
        <f t="shared" ref="N54:N57" si="20">F54*(1+$L54)</f>
        <v>49.875</v>
      </c>
      <c r="O54" s="167">
        <f t="shared" ref="O54:O57" si="21">G54*(1+$L54)</f>
        <v>20</v>
      </c>
      <c r="P54" s="167">
        <f t="shared" ref="P54:P57" si="22">H54*(1+$L54)</f>
        <v>20</v>
      </c>
      <c r="S54" s="137"/>
      <c r="T54" s="105"/>
      <c r="U54" s="242"/>
      <c r="V54" s="242"/>
      <c r="W54" s="242"/>
      <c r="X54" s="242"/>
    </row>
    <row r="55" spans="1:24" ht="13" x14ac:dyDescent="0.3">
      <c r="A55" s="1"/>
      <c r="B55" t="s">
        <v>29</v>
      </c>
      <c r="C55" t="s">
        <v>6</v>
      </c>
      <c r="D55" s="14"/>
      <c r="E55" s="152">
        <v>1</v>
      </c>
      <c r="F55" s="152">
        <v>1</v>
      </c>
      <c r="G55" s="153">
        <v>1</v>
      </c>
      <c r="H55" s="153">
        <v>1</v>
      </c>
      <c r="L55" s="161">
        <v>0</v>
      </c>
      <c r="M55" s="167">
        <f t="shared" si="19"/>
        <v>1</v>
      </c>
      <c r="N55" s="167">
        <f t="shared" si="20"/>
        <v>1</v>
      </c>
      <c r="O55" s="167">
        <f t="shared" si="21"/>
        <v>1</v>
      </c>
      <c r="P55" s="167">
        <f t="shared" si="22"/>
        <v>1</v>
      </c>
      <c r="S55" s="7"/>
      <c r="T55" s="105"/>
      <c r="U55" s="246"/>
      <c r="V55" s="246"/>
      <c r="W55" s="246"/>
      <c r="X55" s="246"/>
    </row>
    <row r="56" spans="1:24" x14ac:dyDescent="0.25">
      <c r="B56" t="s">
        <v>30</v>
      </c>
      <c r="C56" t="s">
        <v>6</v>
      </c>
      <c r="D56" s="14"/>
      <c r="E56" s="152">
        <v>0</v>
      </c>
      <c r="F56" s="152">
        <v>0</v>
      </c>
      <c r="G56" s="153">
        <v>0</v>
      </c>
      <c r="H56" s="153">
        <v>0</v>
      </c>
      <c r="L56" s="161">
        <v>0</v>
      </c>
      <c r="M56" s="167">
        <f t="shared" si="19"/>
        <v>0</v>
      </c>
      <c r="N56" s="167">
        <f t="shared" si="20"/>
        <v>0</v>
      </c>
      <c r="O56" s="167">
        <f t="shared" si="21"/>
        <v>0</v>
      </c>
      <c r="P56" s="167">
        <f t="shared" si="22"/>
        <v>0</v>
      </c>
      <c r="S56" s="137"/>
      <c r="T56" s="105"/>
      <c r="U56" s="242"/>
      <c r="V56" s="242"/>
      <c r="W56" s="242"/>
      <c r="X56" s="242"/>
    </row>
    <row r="57" spans="1:24" x14ac:dyDescent="0.25">
      <c r="B57" t="s">
        <v>32</v>
      </c>
      <c r="C57" t="s">
        <v>6</v>
      </c>
      <c r="D57" s="14"/>
      <c r="E57" s="152">
        <v>0</v>
      </c>
      <c r="F57" s="152">
        <v>0</v>
      </c>
      <c r="G57" s="153">
        <v>0</v>
      </c>
      <c r="H57" s="153">
        <v>0</v>
      </c>
      <c r="L57" s="161">
        <v>0</v>
      </c>
      <c r="M57" s="167">
        <f t="shared" si="19"/>
        <v>0</v>
      </c>
      <c r="N57" s="167">
        <f t="shared" si="20"/>
        <v>0</v>
      </c>
      <c r="O57" s="167">
        <f t="shared" si="21"/>
        <v>0</v>
      </c>
      <c r="P57" s="167">
        <f t="shared" si="22"/>
        <v>0</v>
      </c>
      <c r="S57" s="137"/>
      <c r="T57" s="105"/>
      <c r="U57" s="242"/>
      <c r="V57" s="242"/>
      <c r="W57" s="242"/>
      <c r="X57" s="242"/>
    </row>
    <row r="58" spans="1:24" x14ac:dyDescent="0.25">
      <c r="L58" s="163"/>
      <c r="M58" s="168"/>
      <c r="N58" s="168"/>
      <c r="O58" s="168"/>
      <c r="P58" s="168"/>
      <c r="S58" s="7"/>
      <c r="T58" s="105"/>
      <c r="U58" s="246"/>
      <c r="V58" s="246"/>
      <c r="W58" s="246"/>
      <c r="X58" s="246"/>
    </row>
    <row r="59" spans="1:24" ht="13" x14ac:dyDescent="0.3">
      <c r="B59" s="80" t="s">
        <v>150</v>
      </c>
      <c r="C59" t="s">
        <v>6</v>
      </c>
      <c r="D59" s="14"/>
      <c r="E59" s="14">
        <f>SUM(E50:E58)</f>
        <v>313.75177055776015</v>
      </c>
      <c r="F59" s="14">
        <f>SUM(F50:F58)</f>
        <v>263.07199754901956</v>
      </c>
      <c r="G59" s="14">
        <f>SUM(G50:G58)</f>
        <v>371.07879005843677</v>
      </c>
      <c r="H59" s="14">
        <f t="shared" ref="H59" si="23">SUM(H50:H58)</f>
        <v>255.68773620559332</v>
      </c>
      <c r="L59" s="189"/>
      <c r="M59" s="81">
        <f>SUM(M50:M58)</f>
        <v>313.75177055776015</v>
      </c>
      <c r="N59" s="81">
        <f t="shared" ref="N59:P59" si="24">SUM(N50:N58)</f>
        <v>263.07199754901956</v>
      </c>
      <c r="O59" s="81">
        <f t="shared" si="24"/>
        <v>371.07879005843677</v>
      </c>
      <c r="P59" s="81">
        <f t="shared" si="24"/>
        <v>255.68773620559332</v>
      </c>
      <c r="S59" s="137"/>
      <c r="T59" s="105"/>
      <c r="U59" s="242"/>
      <c r="V59" s="242"/>
      <c r="W59" s="242"/>
      <c r="X59" s="242"/>
    </row>
    <row r="60" spans="1:24" x14ac:dyDescent="0.25">
      <c r="L60" s="162"/>
      <c r="M60" s="168"/>
      <c r="N60" s="168"/>
      <c r="O60" s="168"/>
      <c r="P60" s="168"/>
      <c r="S60" s="137"/>
      <c r="T60" s="105"/>
      <c r="U60" s="242"/>
      <c r="V60" s="242"/>
      <c r="W60" s="242"/>
      <c r="X60" s="242"/>
    </row>
    <row r="61" spans="1:24" ht="13" x14ac:dyDescent="0.3">
      <c r="A61" s="80" t="s">
        <v>7</v>
      </c>
      <c r="D61" s="7"/>
      <c r="E61" s="7"/>
      <c r="F61" s="7"/>
      <c r="G61" s="7"/>
      <c r="L61" s="162"/>
      <c r="M61" s="168"/>
      <c r="N61" s="168"/>
      <c r="O61" s="168"/>
      <c r="P61" s="168"/>
      <c r="S61" s="7"/>
      <c r="T61" s="105"/>
      <c r="U61" s="246"/>
      <c r="V61" s="246"/>
      <c r="W61" s="246"/>
      <c r="X61" s="246"/>
    </row>
    <row r="62" spans="1:24" x14ac:dyDescent="0.25">
      <c r="B62" t="s">
        <v>33</v>
      </c>
      <c r="C62" t="s">
        <v>22</v>
      </c>
      <c r="D62" s="53"/>
      <c r="E62" s="149">
        <v>0.05</v>
      </c>
      <c r="F62" s="149">
        <v>0.05</v>
      </c>
      <c r="G62" s="149">
        <v>0.05</v>
      </c>
      <c r="H62" s="154">
        <v>0.05</v>
      </c>
      <c r="L62" s="161">
        <v>0</v>
      </c>
      <c r="M62" s="169">
        <f>E62*(1+$L62)</f>
        <v>0.05</v>
      </c>
      <c r="N62" s="169">
        <f t="shared" ref="N62:P62" si="25">F62*(1+$L62)</f>
        <v>0.05</v>
      </c>
      <c r="O62" s="169">
        <f t="shared" si="25"/>
        <v>0.05</v>
      </c>
      <c r="P62" s="169">
        <f t="shared" si="25"/>
        <v>0.05</v>
      </c>
      <c r="S62" s="137"/>
      <c r="T62" s="105"/>
      <c r="U62" s="242"/>
      <c r="V62" s="242"/>
      <c r="W62" s="242"/>
      <c r="X62" s="242"/>
    </row>
    <row r="63" spans="1:24" x14ac:dyDescent="0.25">
      <c r="B63" t="s">
        <v>34</v>
      </c>
      <c r="C63" s="173"/>
      <c r="D63" s="155">
        <v>1</v>
      </c>
      <c r="E63" s="14">
        <f>(E31+E32)*E62*$D$63*(E19/360)</f>
        <v>31.805926959325408</v>
      </c>
      <c r="F63" s="14">
        <f t="shared" ref="F63:H63" si="26">(F31+F32)*F62*$D$63*(F19/360)</f>
        <v>30.632624999999997</v>
      </c>
      <c r="G63" s="14">
        <f>(G31+G32)*G62*$D$63*(G19/360)</f>
        <v>25.91938528637262</v>
      </c>
      <c r="H63" s="14">
        <f t="shared" si="26"/>
        <v>29.761066113945578</v>
      </c>
      <c r="K63" s="63"/>
      <c r="L63" s="165"/>
      <c r="M63" s="14">
        <f>(M31+M32)*M62*$D$63*(M19/360)</f>
        <v>31.805926959325408</v>
      </c>
      <c r="N63" s="14">
        <f t="shared" ref="N63" si="27">(N31+N32)*N62*$D$63*(N19/360)</f>
        <v>30.632624999999997</v>
      </c>
      <c r="O63" s="14">
        <f>(O31+O32)*O62*$D$63*(O19/360)</f>
        <v>25.91938528637262</v>
      </c>
      <c r="P63" s="14">
        <f t="shared" ref="P63" si="28">(P31+P32)*P62*$D$63*(P19/360)</f>
        <v>29.761066113945578</v>
      </c>
      <c r="S63" s="137"/>
      <c r="T63" s="105"/>
      <c r="U63" s="242"/>
      <c r="V63" s="242"/>
      <c r="W63" s="242"/>
      <c r="X63" s="242"/>
    </row>
    <row r="64" spans="1:24" x14ac:dyDescent="0.25">
      <c r="B64" t="s">
        <v>35</v>
      </c>
      <c r="C64" s="173"/>
      <c r="D64" s="155">
        <v>0.5</v>
      </c>
      <c r="E64" s="14">
        <f>E44*E62*$D$64*(E19/360)</f>
        <v>11.327481025397482</v>
      </c>
      <c r="F64" s="14">
        <f>F44*F62*$D$64*(F19/360)</f>
        <v>8.512064474527909</v>
      </c>
      <c r="G64" s="14">
        <f>G44*G62*$D$64*(G19/360)</f>
        <v>20.433746636217613</v>
      </c>
      <c r="H64" s="14">
        <f>H44*H62*$D$64*(H19/360)</f>
        <v>9.8934706346369552</v>
      </c>
      <c r="K64" s="63"/>
      <c r="L64" s="166"/>
      <c r="M64" s="14">
        <f>M44*M62*$D$64*(M19/360)</f>
        <v>11.327481025397482</v>
      </c>
      <c r="N64" s="14">
        <f>N44*N62*$D$64*(N19/360)</f>
        <v>8.512064474527909</v>
      </c>
      <c r="O64" s="14">
        <f>O44*O62*$D$64*(O19/360)</f>
        <v>20.433746636217613</v>
      </c>
      <c r="P64" s="14">
        <f>P44*P62*$D$64*(P19/360)</f>
        <v>9.8934706346369552</v>
      </c>
      <c r="S64" s="7"/>
      <c r="T64" s="105"/>
      <c r="U64" s="246"/>
      <c r="V64" s="246"/>
      <c r="W64" s="246"/>
      <c r="X64" s="246"/>
    </row>
    <row r="65" spans="1:37" x14ac:dyDescent="0.25">
      <c r="B65" t="s">
        <v>36</v>
      </c>
      <c r="C65" s="173"/>
      <c r="D65" s="155">
        <v>0.5</v>
      </c>
      <c r="E65" s="14">
        <f>(E59-(Yardage!$D$26*'Feedlot Budget'!E19))*E62*$D$65*(E19/360)</f>
        <v>3.9060870357438899</v>
      </c>
      <c r="F65" s="14">
        <f>(F59-(Yardage!$D$26*'Feedlot Budget'!F19))*F62*$D$65*(F19/360)</f>
        <v>2.6927361305275781</v>
      </c>
      <c r="G65" s="14">
        <f>(G59-(Yardage!$D$26*'Feedlot Budget'!G19))*G62*$D$65*(G19/360)</f>
        <v>5.9063329280410919</v>
      </c>
      <c r="H65" s="14">
        <f>(H59-(Yardage!$D$26*'Feedlot Budget'!H19))*H62*$D$65*(H19/360)</f>
        <v>2.7672484275762277</v>
      </c>
      <c r="K65" s="63"/>
      <c r="L65" s="166"/>
      <c r="M65" s="14">
        <f>(M59-(Yardage!$D$26*'Feedlot Budget'!M19))*M62*$D$65*(M19/360)</f>
        <v>3.9060870357438899</v>
      </c>
      <c r="N65" s="14">
        <f>(N59-(Yardage!$D$26*'Feedlot Budget'!N19))*N62*$D$65*(N19/360)</f>
        <v>2.6927361305275781</v>
      </c>
      <c r="O65" s="14">
        <f>(O59-(Yardage!$D$26*'Feedlot Budget'!O19))*O62*$D$65*(O19/360)</f>
        <v>5.9063329280410919</v>
      </c>
      <c r="P65" s="14">
        <f>(P59-(Yardage!$D$26*'Feedlot Budget'!P19))*P62*$D$65*(P19/360)</f>
        <v>2.7672484275762277</v>
      </c>
      <c r="S65" s="137"/>
      <c r="T65" s="105"/>
      <c r="U65" s="242"/>
      <c r="V65" s="242"/>
      <c r="W65" s="242"/>
      <c r="X65" s="242"/>
    </row>
    <row r="66" spans="1:37" ht="13" x14ac:dyDescent="0.3">
      <c r="A66" s="1"/>
      <c r="B66" s="80" t="s">
        <v>37</v>
      </c>
      <c r="C66" t="s">
        <v>6</v>
      </c>
      <c r="E66" s="14">
        <f t="shared" ref="E66:G66" si="29">SUM(E63:E65)</f>
        <v>47.039495020466781</v>
      </c>
      <c r="F66" s="14">
        <f t="shared" si="29"/>
        <v>41.837425605055486</v>
      </c>
      <c r="G66" s="14">
        <f t="shared" si="29"/>
        <v>52.259464850631332</v>
      </c>
      <c r="H66" s="14">
        <f>SUM(H63:H65)</f>
        <v>42.421785176158757</v>
      </c>
      <c r="K66" s="63"/>
      <c r="L66" s="163"/>
      <c r="M66" s="14">
        <f t="shared" ref="M66:O66" si="30">SUM(M63:M65)</f>
        <v>47.039495020466781</v>
      </c>
      <c r="N66" s="14">
        <f t="shared" si="30"/>
        <v>41.837425605055486</v>
      </c>
      <c r="O66" s="14">
        <f t="shared" si="30"/>
        <v>52.259464850631332</v>
      </c>
      <c r="P66" s="14">
        <f>SUM(P63:P65)</f>
        <v>42.421785176158757</v>
      </c>
      <c r="S66" s="3"/>
      <c r="T66" s="104"/>
      <c r="U66" s="234"/>
      <c r="V66" s="234"/>
      <c r="W66" s="234"/>
      <c r="X66" s="234"/>
    </row>
    <row r="67" spans="1:37" ht="13" x14ac:dyDescent="0.3">
      <c r="A67" s="1"/>
      <c r="E67" s="14"/>
      <c r="F67" s="14"/>
      <c r="G67" s="14"/>
      <c r="H67" s="14"/>
      <c r="L67" s="162"/>
      <c r="M67" s="168"/>
      <c r="N67" s="168"/>
      <c r="O67" s="168"/>
      <c r="P67" s="168"/>
      <c r="T67" s="104"/>
      <c r="U67" s="235"/>
      <c r="V67" s="235"/>
      <c r="W67" s="235"/>
      <c r="X67" s="235"/>
    </row>
    <row r="68" spans="1:37" ht="13" x14ac:dyDescent="0.3">
      <c r="A68" s="1" t="s">
        <v>155</v>
      </c>
      <c r="E68" s="14"/>
      <c r="F68" s="14"/>
      <c r="G68" s="14"/>
      <c r="H68" s="14"/>
      <c r="L68" s="162"/>
      <c r="M68" s="168"/>
      <c r="N68" s="168"/>
      <c r="O68" s="168"/>
      <c r="P68" s="168"/>
    </row>
    <row r="69" spans="1:37" ht="13" x14ac:dyDescent="0.3">
      <c r="A69" s="1"/>
      <c r="B69" t="s">
        <v>87</v>
      </c>
      <c r="C69" t="s">
        <v>6</v>
      </c>
      <c r="D69" s="131"/>
      <c r="E69" s="172">
        <f>0.011*E19</f>
        <v>2.7247643849206353</v>
      </c>
      <c r="F69" s="172">
        <f t="shared" ref="F69:H69" si="31">0.011*F19</f>
        <v>2.2141544117647056</v>
      </c>
      <c r="G69" s="172">
        <f t="shared" si="31"/>
        <v>3.6857764611220833</v>
      </c>
      <c r="H69" s="172">
        <f t="shared" si="31"/>
        <v>2.4787414965986394</v>
      </c>
      <c r="I69" s="3"/>
      <c r="L69" s="161">
        <v>0</v>
      </c>
      <c r="M69" s="167">
        <f>E69*(1+$L69)</f>
        <v>2.7247643849206353</v>
      </c>
      <c r="N69" s="167">
        <f t="shared" ref="N69:P69" si="32">F69*(1+$L69)</f>
        <v>2.2141544117647056</v>
      </c>
      <c r="O69" s="167">
        <f t="shared" si="32"/>
        <v>3.6857764611220833</v>
      </c>
      <c r="P69" s="167">
        <f t="shared" si="32"/>
        <v>2.4787414965986394</v>
      </c>
    </row>
    <row r="70" spans="1:37" x14ac:dyDescent="0.25">
      <c r="L70" s="117"/>
      <c r="M70" s="168"/>
      <c r="N70" s="168"/>
      <c r="O70" s="168"/>
      <c r="P70" s="160"/>
    </row>
    <row r="71" spans="1:37" s="121" customFormat="1" ht="27.4" customHeight="1" x14ac:dyDescent="0.3">
      <c r="A71" s="138" t="s">
        <v>151</v>
      </c>
      <c r="B71" s="129"/>
      <c r="C71" s="121" t="s">
        <v>6</v>
      </c>
      <c r="E71" s="127">
        <f>(SUM(E44,E59,E66))-E69</f>
        <v>1016.5722436908262</v>
      </c>
      <c r="F71" s="127">
        <f>(SUM(F44,F59,F66))-F69</f>
        <v>911.64602917757816</v>
      </c>
      <c r="G71" s="127">
        <f>(SUM(G44,G59,G66))-G69</f>
        <v>1297.8135664352244</v>
      </c>
      <c r="H71" s="130">
        <f>(SUM(H44,H59,H66))-H69</f>
        <v>927.85715390476116</v>
      </c>
      <c r="J71" s="123"/>
      <c r="K71" s="122"/>
      <c r="M71" s="127">
        <f>(SUM(M44,M59,M66))-M69</f>
        <v>1016.5722436908262</v>
      </c>
      <c r="N71" s="127">
        <f>(SUM(N44,N59,N66))-N69</f>
        <v>911.64602917757816</v>
      </c>
      <c r="O71" s="127">
        <f>(SUM(O44,O59,O66))-O69</f>
        <v>1297.8135664352244</v>
      </c>
      <c r="P71" s="130">
        <f>(SUM(P44,P59,P66))-P69</f>
        <v>927.85715390476116</v>
      </c>
      <c r="Y71" s="4"/>
      <c r="Z71" s="4"/>
      <c r="AA71" s="4"/>
      <c r="AB71" s="4"/>
      <c r="AC71" s="4"/>
      <c r="AD71" s="4"/>
      <c r="AE71" s="4"/>
      <c r="AF71" s="4"/>
      <c r="AG71" s="4"/>
      <c r="AH71" s="4"/>
      <c r="AI71" s="4"/>
      <c r="AJ71" s="4"/>
      <c r="AK71" s="4"/>
    </row>
    <row r="72" spans="1:37" x14ac:dyDescent="0.25">
      <c r="A72" s="7"/>
      <c r="P72" s="7"/>
    </row>
    <row r="73" spans="1:37" ht="13" x14ac:dyDescent="0.3">
      <c r="A73" s="7"/>
      <c r="Q73" s="256" t="s">
        <v>162</v>
      </c>
      <c r="R73" s="256"/>
      <c r="S73" s="256"/>
      <c r="T73" s="256"/>
    </row>
    <row r="74" spans="1:37" s="221" customFormat="1" ht="13" x14ac:dyDescent="0.3">
      <c r="A74" s="218" t="s">
        <v>152</v>
      </c>
      <c r="B74" s="219"/>
      <c r="C74" s="219" t="s">
        <v>6</v>
      </c>
      <c r="D74" s="219"/>
      <c r="E74" s="220">
        <f>E33-E71+(Yardage!$D$26*'Feedlot Budget'!E19)</f>
        <v>-270.41448988949105</v>
      </c>
      <c r="F74" s="220">
        <f>F33-F71+(Yardage!$D$26*'Feedlot Budget'!F19)</f>
        <v>-324.47228225881088</v>
      </c>
      <c r="G74" s="220">
        <f>G33-G71+(Yardage!$D$26*'Feedlot Budget'!G19)</f>
        <v>-291.83567729670506</v>
      </c>
      <c r="H74" s="220">
        <f>H33-H71+(Yardage!$D$26*'Feedlot Budget'!H19)</f>
        <v>-282.44384892689709</v>
      </c>
      <c r="J74" s="222"/>
      <c r="K74" s="223"/>
      <c r="M74" s="224">
        <f>M33-M71+(Yardage!$D$26*'Feedlot Budget'!M19*(1+$L$49))</f>
        <v>-270.41448988949105</v>
      </c>
      <c r="N74" s="224">
        <f>N33-N71+(Yardage!$D$26*'Feedlot Budget'!N19*(1+$L$49))</f>
        <v>-324.47228225881088</v>
      </c>
      <c r="O74" s="224">
        <f>O33-O71+(Yardage!$D$26*'Feedlot Budget'!O19*(1+$L$49))</f>
        <v>-291.83567729670506</v>
      </c>
      <c r="P74" s="224">
        <f>P33-P71+(Yardage!$D$26*'Feedlot Budget'!P19*(1+$L$49))</f>
        <v>-282.44384892689709</v>
      </c>
      <c r="Q74" s="225">
        <f>M74-E74</f>
        <v>0</v>
      </c>
      <c r="R74" s="225">
        <f t="shared" ref="R74:T74" si="33">N74-F74</f>
        <v>0</v>
      </c>
      <c r="S74" s="225">
        <f t="shared" si="33"/>
        <v>0</v>
      </c>
      <c r="T74" s="225">
        <f t="shared" si="33"/>
        <v>0</v>
      </c>
      <c r="Y74" s="4"/>
      <c r="Z74" s="4"/>
      <c r="AA74" s="4"/>
      <c r="AB74" s="4"/>
      <c r="AC74" s="4"/>
      <c r="AD74" s="4"/>
      <c r="AE74" s="4"/>
      <c r="AF74" s="4"/>
      <c r="AG74" s="4"/>
      <c r="AH74" s="4"/>
      <c r="AI74" s="4"/>
      <c r="AJ74" s="4"/>
      <c r="AK74" s="4"/>
    </row>
    <row r="75" spans="1:37" s="121" customFormat="1" x14ac:dyDescent="0.25">
      <c r="A75" s="122"/>
      <c r="H75" s="122"/>
      <c r="J75" s="123"/>
      <c r="K75" s="122"/>
      <c r="M75" s="228"/>
      <c r="N75" s="228"/>
      <c r="O75" s="228"/>
      <c r="P75" s="228"/>
      <c r="Q75" s="236">
        <f>(M74-E74)/(ABS(E74))</f>
        <v>0</v>
      </c>
      <c r="R75" s="236">
        <f t="shared" ref="R75:T75" si="34">(N74-F74)/(ABS(F74))</f>
        <v>0</v>
      </c>
      <c r="S75" s="236">
        <f t="shared" si="34"/>
        <v>0</v>
      </c>
      <c r="T75" s="236">
        <f t="shared" si="34"/>
        <v>0</v>
      </c>
      <c r="Y75" s="4"/>
      <c r="Z75" s="4"/>
      <c r="AA75" s="4"/>
      <c r="AB75" s="4"/>
      <c r="AC75" s="4"/>
      <c r="AD75" s="4"/>
      <c r="AE75" s="4"/>
      <c r="AF75" s="4"/>
      <c r="AG75" s="4"/>
      <c r="AH75" s="4"/>
      <c r="AI75" s="4"/>
      <c r="AJ75" s="4"/>
      <c r="AK75" s="4"/>
    </row>
    <row r="76" spans="1:37" x14ac:dyDescent="0.25">
      <c r="A76" s="7"/>
      <c r="Q76" s="196"/>
      <c r="R76" s="196"/>
      <c r="S76" s="196"/>
      <c r="T76" s="196"/>
    </row>
    <row r="77" spans="1:37" s="221" customFormat="1" ht="13" x14ac:dyDescent="0.3">
      <c r="A77" s="229" t="s">
        <v>153</v>
      </c>
      <c r="B77" s="230"/>
      <c r="C77" s="231"/>
      <c r="D77" s="231"/>
      <c r="E77" s="231"/>
      <c r="F77" s="231"/>
      <c r="G77" s="231"/>
      <c r="H77" s="231"/>
      <c r="J77" s="222"/>
      <c r="K77" s="223"/>
      <c r="M77" s="223"/>
      <c r="N77" s="223"/>
      <c r="O77" s="223"/>
      <c r="P77" s="223"/>
      <c r="Q77" s="232"/>
      <c r="R77" s="232"/>
      <c r="S77" s="232"/>
      <c r="T77" s="232"/>
      <c r="Y77" s="4"/>
      <c r="Z77" s="4"/>
      <c r="AA77" s="4"/>
      <c r="AB77" s="4"/>
      <c r="AC77" s="4"/>
      <c r="AD77" s="4"/>
      <c r="AE77" s="4"/>
      <c r="AF77" s="4"/>
      <c r="AG77" s="4"/>
      <c r="AH77" s="4"/>
      <c r="AI77" s="4"/>
      <c r="AJ77" s="4"/>
      <c r="AK77" s="4"/>
    </row>
    <row r="78" spans="1:37" s="80" customFormat="1" ht="13" x14ac:dyDescent="0.3">
      <c r="A78" s="216"/>
      <c r="B78" s="216" t="s">
        <v>8</v>
      </c>
      <c r="C78" s="216" t="s">
        <v>6</v>
      </c>
      <c r="D78" s="216"/>
      <c r="E78" s="217">
        <f>E33-E71</f>
        <v>-357.09187930590576</v>
      </c>
      <c r="F78" s="217">
        <f>F33-F71</f>
        <v>-394.9066747658137</v>
      </c>
      <c r="G78" s="217">
        <f>G33-G71</f>
        <v>-409.08378997410239</v>
      </c>
      <c r="H78" s="217">
        <f>H33-H71</f>
        <v>-361.29501240816262</v>
      </c>
      <c r="J78" s="132"/>
      <c r="K78" s="133"/>
      <c r="M78" s="217">
        <f>M33-M71</f>
        <v>-357.09187930590576</v>
      </c>
      <c r="N78" s="217">
        <f>N33-N71</f>
        <v>-394.9066747658137</v>
      </c>
      <c r="O78" s="217">
        <f>O33-O71</f>
        <v>-409.08378997410239</v>
      </c>
      <c r="P78" s="217">
        <f>P33-P71</f>
        <v>-361.29501240816262</v>
      </c>
      <c r="Q78" s="233">
        <f>M78-E78</f>
        <v>0</v>
      </c>
      <c r="R78" s="233">
        <f t="shared" ref="R78" si="35">N78-F78</f>
        <v>0</v>
      </c>
      <c r="S78" s="233">
        <f t="shared" ref="S78" si="36">O78-G78</f>
        <v>0</v>
      </c>
      <c r="T78" s="233">
        <f t="shared" ref="T78" si="37">P78-H78</f>
        <v>0</v>
      </c>
      <c r="Y78" s="249"/>
      <c r="Z78" s="249"/>
      <c r="AA78" s="249"/>
      <c r="AB78" s="249"/>
      <c r="AC78" s="249"/>
      <c r="AD78" s="249"/>
      <c r="AE78" s="249"/>
      <c r="AF78" s="249"/>
      <c r="AG78" s="249"/>
      <c r="AH78" s="249"/>
      <c r="AI78" s="249"/>
      <c r="AJ78" s="249"/>
      <c r="AK78" s="249"/>
    </row>
    <row r="79" spans="1:37" s="80" customFormat="1" ht="13" x14ac:dyDescent="0.3">
      <c r="E79" s="120"/>
      <c r="F79" s="120"/>
      <c r="G79" s="120"/>
      <c r="H79" s="119"/>
      <c r="J79" s="132"/>
      <c r="K79" s="133"/>
      <c r="M79" s="217"/>
      <c r="N79" s="217"/>
      <c r="O79" s="217"/>
      <c r="P79" s="217"/>
      <c r="Q79" s="237">
        <f>(M78-E78)/(ABS(E78))</f>
        <v>0</v>
      </c>
      <c r="R79" s="237">
        <f>(N78-F78)/(ABS(F78))</f>
        <v>0</v>
      </c>
      <c r="S79" s="237">
        <f>(O78-G78)/(ABS(G78))</f>
        <v>0</v>
      </c>
      <c r="T79" s="237">
        <f>(P78-H78)/(ABS(H78))</f>
        <v>0</v>
      </c>
      <c r="Y79" s="249"/>
      <c r="Z79" s="249"/>
      <c r="AA79" s="249"/>
      <c r="AB79" s="249"/>
      <c r="AC79" s="249"/>
      <c r="AD79" s="249"/>
      <c r="AE79" s="249"/>
      <c r="AF79" s="249"/>
      <c r="AG79" s="249"/>
      <c r="AH79" s="249"/>
      <c r="AI79" s="249"/>
      <c r="AJ79" s="249"/>
      <c r="AK79" s="249"/>
    </row>
    <row r="80" spans="1:37" x14ac:dyDescent="0.25">
      <c r="B80" s="3" t="s">
        <v>38</v>
      </c>
      <c r="C80" s="4" t="s">
        <v>4</v>
      </c>
      <c r="D80" s="152">
        <v>5</v>
      </c>
      <c r="E80" s="2">
        <f>(E6*((E25+$D$80)/100))-(E71+E31)</f>
        <v>-278.57224369082633</v>
      </c>
      <c r="F80" s="2">
        <f>(F6*((F25+$D$80)/100))-(F71+F31)</f>
        <v>-318.14602917757816</v>
      </c>
      <c r="G80" s="2">
        <f>(G6*((G25+$D$80)/100))-(G71+G31)</f>
        <v>-325.8135664352244</v>
      </c>
      <c r="H80" s="14">
        <f>(H6*((H25+$D$80)/100))-(H71+H31)</f>
        <v>-264.85715390476116</v>
      </c>
      <c r="M80" s="2">
        <f>(M6*((M25+$D$80)/100))-(M71+M31)</f>
        <v>-278.57224369082633</v>
      </c>
      <c r="N80" s="2">
        <f>(N6*((N25+$D$80)/100))-(N71+N31)</f>
        <v>-318.14602917757816</v>
      </c>
      <c r="O80" s="2">
        <f>(O6*((O25+$D$80)/100))-(O71+O31)</f>
        <v>-325.8135664352244</v>
      </c>
      <c r="P80" s="14">
        <f>(P6*((P25+$D$80)/100))-(P71+P31)</f>
        <v>-264.85715390476116</v>
      </c>
      <c r="Q80" s="196"/>
      <c r="R80" s="196"/>
      <c r="S80" s="196"/>
      <c r="T80" s="196"/>
    </row>
    <row r="81" spans="1:37" s="121" customFormat="1" x14ac:dyDescent="0.25">
      <c r="B81" s="121" t="s">
        <v>39</v>
      </c>
      <c r="C81" s="121" t="s">
        <v>4</v>
      </c>
      <c r="D81" s="226">
        <v>-5</v>
      </c>
      <c r="E81" s="127">
        <f>(E6*((E25+$D$81)/100))-(E71+E31)</f>
        <v>-416.0722436908261</v>
      </c>
      <c r="F81" s="127">
        <f>(F6*((F25+$D$81)/100))-(F71+F31)</f>
        <v>-460.64602917757816</v>
      </c>
      <c r="G81" s="127">
        <f>(G6*((G25+$D$81)/100))-(G71+G31)</f>
        <v>-465.8135664352244</v>
      </c>
      <c r="H81" s="130">
        <f>(H6*((H25+$D$81)/100))-(H71+H31)</f>
        <v>-414.85715390476116</v>
      </c>
      <c r="J81" s="123"/>
      <c r="K81" s="122"/>
      <c r="M81" s="127">
        <f>(M6*((M25+$D$81)/100))-(M71+M31)</f>
        <v>-416.0722436908261</v>
      </c>
      <c r="N81" s="127">
        <f>(N6*((N25+$D$81)/100))-(N71+N31)</f>
        <v>-460.64602917757816</v>
      </c>
      <c r="O81" s="127">
        <f>(O6*((O25+$D$81)/100))-(O71+O31)</f>
        <v>-465.8135664352244</v>
      </c>
      <c r="P81" s="130">
        <f>(P6*((P25+$D$81)/100))-(P71+P31)</f>
        <v>-414.85715390476116</v>
      </c>
      <c r="Q81" s="227"/>
      <c r="R81" s="227"/>
      <c r="S81" s="227"/>
      <c r="T81" s="227"/>
      <c r="Y81" s="4"/>
      <c r="Z81" s="4"/>
      <c r="AA81" s="4"/>
      <c r="AB81" s="4"/>
      <c r="AC81" s="4"/>
      <c r="AD81" s="4"/>
      <c r="AE81" s="4"/>
      <c r="AF81" s="4"/>
      <c r="AG81" s="4"/>
      <c r="AH81" s="4"/>
      <c r="AI81" s="4"/>
      <c r="AJ81" s="4"/>
      <c r="AK81" s="4"/>
    </row>
    <row r="82" spans="1:37" x14ac:dyDescent="0.25">
      <c r="P82" s="7"/>
      <c r="Q82" s="196"/>
      <c r="R82" s="196"/>
      <c r="S82" s="196"/>
      <c r="T82" s="196"/>
    </row>
    <row r="83" spans="1:37" ht="13" x14ac:dyDescent="0.3">
      <c r="A83" s="1" t="s">
        <v>9</v>
      </c>
      <c r="E83" s="42"/>
      <c r="F83" s="42"/>
      <c r="G83" s="42"/>
      <c r="H83" s="112"/>
      <c r="M83" s="42"/>
      <c r="N83" s="42"/>
      <c r="O83" s="42"/>
      <c r="P83" s="112"/>
      <c r="Q83" s="197"/>
      <c r="R83" s="197"/>
      <c r="S83" s="197"/>
      <c r="T83" s="197"/>
    </row>
    <row r="84" spans="1:37" x14ac:dyDescent="0.25">
      <c r="B84" t="s">
        <v>10</v>
      </c>
      <c r="C84" s="4" t="s">
        <v>4</v>
      </c>
      <c r="D84" s="4"/>
      <c r="E84" s="2">
        <f>((E30-(E44+(E59-E32)+E64+E65))/(E5*(1+E20)*(1+((E62)*((E19)/360)))))*100</f>
        <v>96.79455924806868</v>
      </c>
      <c r="F84" s="2">
        <f t="shared" ref="F84:H84" si="38">((F30-(F44+(F59-F32)+F64+F65))/(F5*(1+F20)*(1+((F62)*((F19)/360)))))*100</f>
        <v>88.983077313890234</v>
      </c>
      <c r="G84" s="2">
        <f t="shared" si="38"/>
        <v>38.511522065920047</v>
      </c>
      <c r="H84" s="2">
        <f t="shared" si="38"/>
        <v>67.305002487817319</v>
      </c>
      <c r="M84" s="192">
        <f>((M30-(M43+(M59-M32)+M64+M65))/(M5*(1+M20)*(1+((M62)*((M19)/360)))))*100</f>
        <v>96.79455924806868</v>
      </c>
      <c r="N84" s="192">
        <f>((N30-(N43+(N59-N32)+N64+N65))/(N5*(1+N20)*(1+((N62)*((N19)/360)))))*100</f>
        <v>88.983077313890234</v>
      </c>
      <c r="O84" s="192">
        <f>((O30-(O43+(O59-O32)+O64+O65))/(O5*(1+O20)*(1+((O62)*((O19)/360)))))*100</f>
        <v>110.86824288093308</v>
      </c>
      <c r="P84" s="192">
        <f>((P30-(P43+(P59-P32)+P64+P65))/(P5*(1+P20)*(1+((P62)*((P19)/360)))))*100</f>
        <v>67.305002487817319</v>
      </c>
      <c r="Q84" s="195">
        <f>M84-E84</f>
        <v>0</v>
      </c>
      <c r="R84" s="195">
        <f t="shared" ref="R84" si="39">N84-F84</f>
        <v>0</v>
      </c>
      <c r="S84" s="195">
        <f t="shared" ref="S84" si="40">O84-G84</f>
        <v>72.356720815013034</v>
      </c>
      <c r="T84" s="195">
        <f t="shared" ref="T84" si="41">P84-H84</f>
        <v>0</v>
      </c>
    </row>
    <row r="85" spans="1:37" x14ac:dyDescent="0.25">
      <c r="C85" s="4"/>
      <c r="D85" s="4"/>
      <c r="E85" s="2"/>
      <c r="F85" s="2"/>
      <c r="G85" s="2"/>
      <c r="H85" s="2"/>
      <c r="M85" s="192"/>
      <c r="N85" s="192"/>
      <c r="O85" s="192"/>
      <c r="P85" s="192"/>
      <c r="Q85" s="238">
        <f>(M84-E84)/(ABS(E84))</f>
        <v>0</v>
      </c>
      <c r="R85" s="238">
        <f>(N84-F84)/(ABS(F84))</f>
        <v>0</v>
      </c>
      <c r="S85" s="238">
        <f>(O84-G84)/(ABS(G84))</f>
        <v>1.8788330591338422</v>
      </c>
      <c r="T85" s="238">
        <f>(P84-H84)/(ABS(H84))</f>
        <v>0</v>
      </c>
    </row>
    <row r="86" spans="1:37" x14ac:dyDescent="0.25">
      <c r="B86" t="s">
        <v>11</v>
      </c>
      <c r="C86" s="4" t="s">
        <v>4</v>
      </c>
      <c r="D86" s="4"/>
      <c r="E86" s="2">
        <f>(((E31+E71)/(E6))*100)</f>
        <v>140.25979954115101</v>
      </c>
      <c r="F86" s="2">
        <f>(((F31+F71)/(F6))*100)</f>
        <v>140.32603713526862</v>
      </c>
      <c r="G86" s="2">
        <f>(((G31+G71)/(G6))*100)</f>
        <v>131.27239760251604</v>
      </c>
      <c r="H86" s="14">
        <f>(((H31+H71)/(H6))*100)</f>
        <v>123.65714359365074</v>
      </c>
      <c r="M86" s="193">
        <f>(((M31+M71)/(M6))*100)</f>
        <v>140.25979954115101</v>
      </c>
      <c r="N86" s="193">
        <f>(((N31+N71)/(N6))*100)</f>
        <v>140.32603713526862</v>
      </c>
      <c r="O86" s="193">
        <f>(((O31+O71)/(O6))*100)</f>
        <v>131.27239760251604</v>
      </c>
      <c r="P86" s="193">
        <f>(((P31+P71)/(P6))*100)</f>
        <v>123.65714359365074</v>
      </c>
      <c r="Q86" s="198">
        <f>M86-E86</f>
        <v>0</v>
      </c>
      <c r="R86" s="198">
        <f>N86-F86</f>
        <v>0</v>
      </c>
      <c r="S86" s="198">
        <f>O86-G86</f>
        <v>0</v>
      </c>
      <c r="T86" s="198">
        <f>P86-H86</f>
        <v>0</v>
      </c>
    </row>
    <row r="87" spans="1:37" x14ac:dyDescent="0.25">
      <c r="M87" s="194"/>
      <c r="N87" s="194"/>
      <c r="O87" s="194"/>
      <c r="P87" s="194"/>
      <c r="Q87" s="239">
        <f>(M86-E86)/(ABS(E86))</f>
        <v>0</v>
      </c>
      <c r="R87" s="239">
        <f>(N86-F86)/(ABS(F86))</f>
        <v>0</v>
      </c>
      <c r="S87" s="239">
        <f>(O86-G86)/(ABS(G86))</f>
        <v>0</v>
      </c>
      <c r="T87" s="239">
        <f>(P86-H86)/(ABS(H86))</f>
        <v>0</v>
      </c>
    </row>
    <row r="88" spans="1:37" ht="13" x14ac:dyDescent="0.3">
      <c r="A88" s="1" t="s">
        <v>12</v>
      </c>
      <c r="M88" s="7"/>
      <c r="N88" s="7"/>
      <c r="O88" s="7"/>
      <c r="P88" s="7"/>
    </row>
    <row r="89" spans="1:37" ht="13" x14ac:dyDescent="0.3">
      <c r="A89" s="1"/>
      <c r="B89" s="69" t="s">
        <v>13</v>
      </c>
      <c r="C89" t="s">
        <v>6</v>
      </c>
      <c r="E89" s="2">
        <f>E31+E32</f>
        <v>924.49440000000004</v>
      </c>
      <c r="F89" s="2">
        <f>F31+F32</f>
        <v>1095.7248</v>
      </c>
      <c r="G89" s="2">
        <f>G31+G32</f>
        <v>556.95600000000002</v>
      </c>
      <c r="H89" s="14">
        <f>H31+H32</f>
        <v>950.91660000000002</v>
      </c>
      <c r="M89" s="2">
        <f>M31+M32</f>
        <v>924.49440000000004</v>
      </c>
      <c r="N89" s="2">
        <f>N31+N32</f>
        <v>1095.7248</v>
      </c>
      <c r="O89" s="2">
        <f>O31+O32</f>
        <v>556.95600000000002</v>
      </c>
      <c r="P89" s="14">
        <f>P31+P32</f>
        <v>950.91660000000002</v>
      </c>
    </row>
    <row r="90" spans="1:37" ht="13" x14ac:dyDescent="0.3">
      <c r="A90" s="1"/>
      <c r="B90" s="69" t="s">
        <v>14</v>
      </c>
      <c r="C90" t="s">
        <v>6</v>
      </c>
      <c r="E90" s="2">
        <f>E44+E59</f>
        <v>972.25751305528001</v>
      </c>
      <c r="F90" s="2">
        <f t="shared" ref="F90:H90" si="42">F44+F59</f>
        <v>872.02275798428741</v>
      </c>
      <c r="G90" s="2">
        <f t="shared" si="42"/>
        <v>1249.2398780457152</v>
      </c>
      <c r="H90" s="2">
        <f t="shared" si="42"/>
        <v>887.91411022520106</v>
      </c>
      <c r="M90" s="2">
        <f>M43+M59</f>
        <v>972.25751305528001</v>
      </c>
      <c r="N90" s="2">
        <f>N43+N59</f>
        <v>872.02275798428741</v>
      </c>
      <c r="O90" s="2">
        <f>O43+O59</f>
        <v>897.78194868647142</v>
      </c>
      <c r="P90" s="14">
        <f>P43+P59</f>
        <v>887.91411022520106</v>
      </c>
    </row>
    <row r="91" spans="1:37" ht="13" x14ac:dyDescent="0.3">
      <c r="A91" s="1"/>
      <c r="B91" s="69" t="s">
        <v>15</v>
      </c>
      <c r="C91" t="s">
        <v>6</v>
      </c>
      <c r="E91" s="2">
        <f>SUM(E89:E90)</f>
        <v>1896.7519130552801</v>
      </c>
      <c r="F91" s="2">
        <f t="shared" ref="F91:G91" si="43">SUM(F89:F90)</f>
        <v>1967.7475579842874</v>
      </c>
      <c r="G91" s="2">
        <f t="shared" si="43"/>
        <v>1806.1958780457153</v>
      </c>
      <c r="H91" s="14">
        <f>SUM(H89:H90)</f>
        <v>1838.8307102252011</v>
      </c>
      <c r="M91" s="2">
        <f t="shared" ref="M91:O91" si="44">SUM(M89:M90)</f>
        <v>1896.7519130552801</v>
      </c>
      <c r="N91" s="2">
        <f t="shared" si="44"/>
        <v>1967.7475579842874</v>
      </c>
      <c r="O91" s="2">
        <f t="shared" si="44"/>
        <v>1454.7379486864716</v>
      </c>
      <c r="P91" s="14">
        <f>SUM(P89:P90)</f>
        <v>1838.8307102252011</v>
      </c>
    </row>
  </sheetData>
  <mergeCells count="12">
    <mergeCell ref="W8:X8"/>
    <mergeCell ref="U8:V8"/>
    <mergeCell ref="A2:B2"/>
    <mergeCell ref="Q73:T73"/>
    <mergeCell ref="M1:P1"/>
    <mergeCell ref="E3:F3"/>
    <mergeCell ref="G3:H3"/>
    <mergeCell ref="M3:N3"/>
    <mergeCell ref="O3:P3"/>
    <mergeCell ref="L2:L4"/>
    <mergeCell ref="E28:F28"/>
    <mergeCell ref="G28:H28"/>
  </mergeCells>
  <phoneticPr fontId="0" type="noConversion"/>
  <printOptions gridLines="1" gridLinesSet="0"/>
  <pageMargins left="0.75" right="0.75" top="1" bottom="1" header="0.5" footer="0.5"/>
  <pageSetup scale="56" orientation="portrait" horizontalDpi="4294967292" r:id="rId1"/>
  <headerFooter alignWithMargins="0">
    <oddHeader>&amp;A</oddHeader>
    <oddFooter>Page &amp;P</oddFooter>
  </headerFooter>
  <ignoredErrors>
    <ignoredError sqref="Q85:T85"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98" r:id="rId4" name="Button 2">
              <controlPr defaultSize="0" autoFill="0" autoLine="0" autoPict="0">
                <anchor moveWithCells="1" sizeWithCells="1">
                  <from>
                    <xdr:col>4</xdr:col>
                    <xdr:colOff>19050</xdr:colOff>
                    <xdr:row>0</xdr:row>
                    <xdr:rowOff>0</xdr:rowOff>
                  </from>
                  <to>
                    <xdr:col>7</xdr:col>
                    <xdr:colOff>850900</xdr:colOff>
                    <xdr:row>1</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3B96353D8F744299C0A6386F37CEFE" ma:contentTypeVersion="15" ma:contentTypeDescription="Create a new document." ma:contentTypeScope="" ma:versionID="af6cecd77458cc719b7bc0f7cd74bba7">
  <xsd:schema xmlns:xsd="http://www.w3.org/2001/XMLSchema" xmlns:xs="http://www.w3.org/2001/XMLSchema" xmlns:p="http://schemas.microsoft.com/office/2006/metadata/properties" xmlns:ns1="http://schemas.microsoft.com/sharepoint/v3" xmlns:ns3="c8b4b15d-f4b1-4f3e-928f-ff1b9054e0cc" xmlns:ns4="f1173af0-a70e-4731-9763-9ff4dd502d75" targetNamespace="http://schemas.microsoft.com/office/2006/metadata/properties" ma:root="true" ma:fieldsID="afcbcdb23cd2005b785d3781938d228a" ns1:_="" ns3:_="" ns4:_="">
    <xsd:import namespace="http://schemas.microsoft.com/sharepoint/v3"/>
    <xsd:import namespace="c8b4b15d-f4b1-4f3e-928f-ff1b9054e0cc"/>
    <xsd:import namespace="f1173af0-a70e-4731-9763-9ff4dd502d7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4b15d-f4b1-4f3e-928f-ff1b9054e0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173af0-a70e-4731-9763-9ff4dd502d7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33BF07F-33DE-4F15-80B9-6D7EAB4CD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b4b15d-f4b1-4f3e-928f-ff1b9054e0cc"/>
    <ds:schemaRef ds:uri="f1173af0-a70e-4731-9763-9ff4dd502d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AFFB48D-65BC-47BE-AE60-01D8C4B6590F}">
  <ds:schemaRefs>
    <ds:schemaRef ds:uri="http://schemas.microsoft.com/sharepoint/v3/contenttype/forms"/>
  </ds:schemaRefs>
</ds:datastoreItem>
</file>

<file path=customXml/itemProps3.xml><?xml version="1.0" encoding="utf-8"?>
<ds:datastoreItem xmlns:ds="http://schemas.openxmlformats.org/officeDocument/2006/customXml" ds:itemID="{7FC8C2A1-6A2B-4F58-9AB5-937E6958232A}">
  <ds:schemaRefs>
    <ds:schemaRef ds:uri="http://schemas.microsoft.com/office/2006/metadata/properties"/>
    <ds:schemaRef ds:uri="http://purl.org/dc/terms/"/>
    <ds:schemaRef ds:uri="http://purl.org/dc/dcmitype/"/>
    <ds:schemaRef ds:uri="c8b4b15d-f4b1-4f3e-928f-ff1b9054e0cc"/>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f1173af0-a70e-4731-9763-9ff4dd502d75"/>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       </vt:lpstr>
      <vt:lpstr>Directions</vt:lpstr>
      <vt:lpstr>Feedlot feed-Beef Finisher</vt:lpstr>
      <vt:lpstr>Feedlot feed- Holstein Grower</vt:lpstr>
      <vt:lpstr>Feedlot feed-Holstein Finisher</vt:lpstr>
      <vt:lpstr>Yardage</vt:lpstr>
      <vt:lpstr>Feedlot Budget</vt:lpstr>
      <vt:lpstr>'       '!Print_Area</vt:lpstr>
      <vt:lpstr>'Feedlot Budget'!Print_Area</vt:lpstr>
      <vt:lpstr>'Feedlot feed- Holstein Grower'!Print_Area</vt:lpstr>
      <vt:lpstr>'Feedlot feed-Beef Finisher'!Print_Area</vt:lpstr>
      <vt:lpstr>'Feedlot feed-Holstein Finisher'!Print_Area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Evaluation of Options for Beef Calves</dc:title>
  <dc:subject>Budgets</dc:subject>
  <dc:creator>Dan Buskirk</dc:creator>
  <cp:lastModifiedBy>Jaborek, Jerad</cp:lastModifiedBy>
  <cp:lastPrinted>2019-02-05T03:29:08Z</cp:lastPrinted>
  <dcterms:created xsi:type="dcterms:W3CDTF">1998-02-23T20:23:31Z</dcterms:created>
  <dcterms:modified xsi:type="dcterms:W3CDTF">2021-04-01T20:14:15Z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0x010100333B96353D8F744299C0A6386F37CEFE</vt:lpwstr>
  </property>
</Properties>
</file>